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1DvdremvkdoODQ1N2MwZTktZTgzYy00MTQ4LThlZGMtYTExZDg1MzI5MjU0\Gamecon\7_P  Mistrovství DrD\2022 - Guff\Working version\"/>
    </mc:Choice>
  </mc:AlternateContent>
  <xr:revisionPtr revIDLastSave="0" documentId="13_ncr:1_{D0F7B491-DD05-441D-B7C4-C29CB47BB6F6}" xr6:coauthVersionLast="47" xr6:coauthVersionMax="47" xr10:uidLastSave="{00000000-0000-0000-0000-000000000000}"/>
  <workbookProtection workbookAlgorithmName="SHA-512" workbookHashValue="fSn0AtYwCTdtSRHSzEwJZ6eHQj5UFbx1yb1pcHe8h64MFOnFKnpbiMW5bL18cgoaT7AUewmJb4YEJiKExdhYWw==" workbookSaltValue="fompgV9gvumvJNAhoaPWYw==" workbookSpinCount="100000" lockStructure="1"/>
  <bookViews>
    <workbookView xWindow="-120" yWindow="-120" windowWidth="29040" windowHeight="15840" tabRatio="425" firstSheet="4" activeTab="4" xr2:uid="{00000000-000D-0000-FFFF-FFFF00000000}"/>
  </bookViews>
  <sheets>
    <sheet name="Guide" sheetId="6" state="hidden" r:id="rId1"/>
    <sheet name="Tables" sheetId="5" state="hidden" r:id="rId2"/>
    <sheet name="NewTab" sheetId="9" state="hidden" r:id="rId3"/>
    <sheet name="Denik New" sheetId="10" state="hidden" r:id="rId4"/>
    <sheet name="Denik New Interactive" sheetId="13" r:id="rId5"/>
  </sheets>
  <definedNames>
    <definedName name="_BCHAR">OFFSET(_Bonus,_CHAR,0,1,1)</definedName>
    <definedName name="_BINT">OFFSET(_Bonus,_INT,0,1,1)</definedName>
    <definedName name="_BOBR">OFFSET(_Bonus,_OBR,0,1,1)</definedName>
    <definedName name="_BODL">OFFSET(_Bonus,_ODL,0,1,1)</definedName>
    <definedName name="_BojSchopPostih">IF(_ODL&lt;=5,-3,IF(_ODL&lt;=11,-2,IF(_ODL&lt;=16,-1,0)))</definedName>
    <definedName name="_BojSchopVyraz">IF(_ODL&lt;=5,ROUND(_ZIV/4,0),IF(_ODL&lt;=11,ROUND(_ZIV/6,0),IF(_ODL&lt;=16,ROUND(_ZIV/8,0),1)))</definedName>
    <definedName name="_Bonus">Tables!$W$3:$W$24</definedName>
    <definedName name="_BPOH">OFFSET(_Bonus,_POH,0,1,1)</definedName>
    <definedName name="_BSIL">OFFSET(_Bonus,_SIL,0,1,1)</definedName>
    <definedName name="_DaTab">#REF!</definedName>
    <definedName name="_Dovednost">Tables!$AA$5:$AF$11</definedName>
    <definedName name="_DovStup">Tables!$AA$5:$AA$11</definedName>
    <definedName name="_CHAR">SUMIFS(_CharCol,_RasCol,_RasInd,_PovCol,_ZakPovInd)</definedName>
    <definedName name="_CharCol">NewTab!$AI$5:$AI$51</definedName>
    <definedName name="_INT">SUMIFS(_IntCol,_RasCol,_RasInd,_PovCol,_ZakPovInd)</definedName>
    <definedName name="_IntCol">NewTab!$AH$5:$AH$51</definedName>
    <definedName name="_LupTab">Tables!$B$105:$M$114</definedName>
    <definedName name="_LVL">_LVLInd</definedName>
    <definedName name="_LVLInd">8</definedName>
    <definedName name="_LvlTab">Tables!$Y$11:$Y$13</definedName>
    <definedName name="_MAG">'Denik New Interactive'!$W$12</definedName>
    <definedName name="_Mag1">Guide!$D$93</definedName>
    <definedName name="_Mag2">Guide!$D$107</definedName>
    <definedName name="_Mag3">Guide!$D$121</definedName>
    <definedName name="_Mag4">Guide!$D$135</definedName>
    <definedName name="_MagAlchTab">Tables!$B$86:$N$94</definedName>
    <definedName name="_MagDruidTab">Tables!$B$43:$O$52</definedName>
    <definedName name="_MagHranTab">Tables!$B$36:$O$40</definedName>
    <definedName name="_MagChodTab">Tables!$B$55:$O$64</definedName>
    <definedName name="_MagInd">IF(_MAG&lt;50,1,IF(_MAG&lt;100,2,IF(_MAG&lt;250,5,IF(_MAG&lt;500,10,20))))</definedName>
    <definedName name="_MagKouzTab">Tables!$B$68:$O$82</definedName>
    <definedName name="_Magy1">Guide!$H$100</definedName>
    <definedName name="_Magy2">Guide!$H$114</definedName>
    <definedName name="_Magy3">Guide!$H$128</definedName>
    <definedName name="_Magy4">Guide!$H$142</definedName>
    <definedName name="_MaxMag">NewTab!$E$5:$E$51</definedName>
    <definedName name="_MaxZiv">NewTab!$D$5:$D$51</definedName>
    <definedName name="_MECH">Guide!$F$71</definedName>
    <definedName name="_MechCol">NewTab!$L$5:$L$51</definedName>
    <definedName name="_MezVyrCol">NewTab!$M$5:$M$51</definedName>
    <definedName name="_Name">Guide!$D$16</definedName>
    <definedName name="_NMECH">Guide!$F$69</definedName>
    <definedName name="_NOBJ">Guide!$F$68</definedName>
    <definedName name="_NOS">_BSIL*30+360</definedName>
    <definedName name="_OBJ">Guide!$F$70</definedName>
    <definedName name="_ObjCol">NewTab!$K$5:$K$51</definedName>
    <definedName name="_OBR">SUMIFS(_ObrCol,_RasCol,_RasInd,_PovCol,_ZakPovInd)</definedName>
    <definedName name="_ObrCol">NewTab!$AF$5:$AF$51</definedName>
    <definedName name="_ODL">SUMIFS(_OdlCol,_RasCol,_RasInd,_PovCol,_ZakPovInd)</definedName>
    <definedName name="_OdlCol">NewTab!$AG$5:$AG$51</definedName>
    <definedName name="_OZ1">Guide!$H$99</definedName>
    <definedName name="_OZ2">Guide!$H$113</definedName>
    <definedName name="_OZ3">Guide!$H$127</definedName>
    <definedName name="_OZ4">Guide!$H$141</definedName>
    <definedName name="_POH">OFFSET(_Vlastnosti_Rasa,_RasInd-1,5,1,1)+_BOBR+2*_BSIL</definedName>
    <definedName name="_Postih1Col">NewTab!$N$5:$N$51</definedName>
    <definedName name="_Postih2Col">NewTab!$O$5:$O$51</definedName>
    <definedName name="_PovCol">NewTab!$Y$5:$Y$51</definedName>
    <definedName name="_RAS">Tables!$B$4:$B$10</definedName>
    <definedName name="_RasCol">NewTab!$X$5:$X$51</definedName>
    <definedName name="_RasInd">'Denik New Interactive'!$AN$7</definedName>
    <definedName name="_Rod1">Guide!$D$92</definedName>
    <definedName name="_Rod2">Guide!$D$106</definedName>
    <definedName name="_Rod3">Guide!$D$120</definedName>
    <definedName name="_Rod4">Guide!$D$134</definedName>
    <definedName name="_ROZPOV">Tables!$B$22:$B$31</definedName>
    <definedName name="_RozPovInd">'Denik New Interactive'!$AN$15</definedName>
    <definedName name="_RozPovSel">OFFSET(_ROZPOV,_ZakPovInd*2-2,0,2,1)</definedName>
    <definedName name="_SF1">Guide!$D$94</definedName>
    <definedName name="_SF2">Guide!$D$108</definedName>
    <definedName name="_SF3">Guide!$D$122</definedName>
    <definedName name="_SF4">Guide!$D$136</definedName>
    <definedName name="_SicTab">Tables!$B$117:$M$126</definedName>
    <definedName name="_SIL">SUMIFS(_SilCol,_RasCol,_RasInd,_PovCol,_ZakPovInd)</definedName>
    <definedName name="_SilCol">NewTab!$AE$5:$AE$51</definedName>
    <definedName name="_Stit">Guide!$D$85</definedName>
    <definedName name="_StitMag">Guide!$D$86</definedName>
    <definedName name="_SZ1">Guide!$H$97</definedName>
    <definedName name="_SZ2">Guide!$H$111</definedName>
    <definedName name="_SZ3">Guide!$H$125</definedName>
    <definedName name="_SZ4">Guide!$H$139</definedName>
    <definedName name="_TEXT">Guide!$D$18</definedName>
    <definedName name="_UT1">Guide!$H$98</definedName>
    <definedName name="_UT2">Guide!$H$112</definedName>
    <definedName name="_UT3">Guide!$H$126</definedName>
    <definedName name="_UT4">Guide!$H$140</definedName>
    <definedName name="_VEL">OFFSET(_Vlastnosti_Rasa,_RasInd-1,6,1,1)</definedName>
    <definedName name="_Vlastnosti_Povolani">Tables!$C$14:$G$18</definedName>
    <definedName name="_Vlastnosti_Povolani_k6">Tables!$K$14:$O$18</definedName>
    <definedName name="_Vlastnosti_Povolani_Oprava">Tables!$Q$4:$U$10</definedName>
    <definedName name="_Vlastnosti_Rasa">Tables!$C$4:$I$10</definedName>
    <definedName name="_Vlastnosti_Rasa_k6">Tables!$K$4:$O$10</definedName>
    <definedName name="_ZAKPOV">Tables!$B$14:$B$18</definedName>
    <definedName name="_ZakPovInd">'Denik New Interactive'!$AN$11</definedName>
    <definedName name="_Zbran1Ind">Guide!$E$90</definedName>
    <definedName name="_Zbran2Ind">Guide!$E$104</definedName>
    <definedName name="_Zbran3Ind">Guide!$E$118</definedName>
    <definedName name="_Zbran4Ind">Guide!$E$132</definedName>
    <definedName name="_ZbranTab">Tables!$A$140:$H$178</definedName>
    <definedName name="_ZbrojInd">Guide!$E$75</definedName>
    <definedName name="_ZbrojKZ">Guide!$H$81</definedName>
    <definedName name="_ZbrojMag">Guide!$D$77</definedName>
    <definedName name="_ZbrojSfera">Guide!$D$78</definedName>
    <definedName name="_ZbrojTab">Tables!$A$130:$A$136</definedName>
    <definedName name="_ZIV">'Denik New Interactive'!$W$10</definedName>
    <definedName name="_ZivTab">Tables!$R$14:$U$18</definedName>
    <definedName name="_ZlodTab">Tables!$B$98:$M$102</definedName>
    <definedName name="_xlnm.Print_Area" localSheetId="4">'Denik New Interactive'!$A$1:$AK$110</definedName>
    <definedName name="_xlnm.Print_Area" localSheetId="2">NewTab!$A$1:$P$53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NewTab!#REF!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10" l="1"/>
  <c r="C53" i="10"/>
  <c r="C7" i="10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6" i="10"/>
  <c r="A6" i="13"/>
  <c r="E51" i="9"/>
  <c r="E50" i="9"/>
  <c r="E49" i="9"/>
  <c r="E48" i="9"/>
  <c r="E47" i="9"/>
  <c r="E46" i="9"/>
  <c r="E45" i="9"/>
  <c r="E11" i="9"/>
  <c r="E10" i="9"/>
  <c r="E9" i="9"/>
  <c r="E8" i="9"/>
  <c r="E7" i="9"/>
  <c r="E6" i="9"/>
  <c r="E5" i="9"/>
  <c r="W8" i="13"/>
  <c r="Q6" i="13" l="1"/>
  <c r="B45" i="9"/>
  <c r="B35" i="9"/>
  <c r="B25" i="9"/>
  <c r="B15" i="9"/>
  <c r="B5" i="9"/>
  <c r="L29" i="13" l="1"/>
  <c r="N44" i="9" l="1"/>
  <c r="M44" i="9"/>
  <c r="N34" i="9"/>
  <c r="M34" i="9"/>
  <c r="N24" i="9"/>
  <c r="M24" i="9"/>
  <c r="N14" i="9"/>
  <c r="M14" i="9"/>
  <c r="L44" i="9"/>
  <c r="K44" i="9"/>
  <c r="L34" i="9"/>
  <c r="K34" i="9"/>
  <c r="L24" i="9"/>
  <c r="K24" i="9"/>
  <c r="L14" i="9"/>
  <c r="K14" i="9"/>
  <c r="J44" i="9" l="1"/>
  <c r="I44" i="9"/>
  <c r="H44" i="9"/>
  <c r="G44" i="9"/>
  <c r="F44" i="9"/>
  <c r="C44" i="9"/>
  <c r="B44" i="9"/>
  <c r="J34" i="9"/>
  <c r="I34" i="9"/>
  <c r="H34" i="9"/>
  <c r="G34" i="9"/>
  <c r="F34" i="9"/>
  <c r="C34" i="9"/>
  <c r="B34" i="9"/>
  <c r="J24" i="9"/>
  <c r="I24" i="9"/>
  <c r="H24" i="9"/>
  <c r="G24" i="9"/>
  <c r="F24" i="9"/>
  <c r="C24" i="9"/>
  <c r="B24" i="9"/>
  <c r="J14" i="9"/>
  <c r="I14" i="9"/>
  <c r="H14" i="9"/>
  <c r="G14" i="9"/>
  <c r="F14" i="9"/>
  <c r="C14" i="9"/>
  <c r="B14" i="9"/>
  <c r="AJ51" i="9"/>
  <c r="AJ50" i="9"/>
  <c r="AJ49" i="9"/>
  <c r="AJ48" i="9"/>
  <c r="AJ47" i="9"/>
  <c r="AJ46" i="9"/>
  <c r="AJ45" i="9"/>
  <c r="AJ41" i="9"/>
  <c r="AJ40" i="9"/>
  <c r="AJ39" i="9"/>
  <c r="AJ38" i="9"/>
  <c r="AJ37" i="9"/>
  <c r="AJ36" i="9"/>
  <c r="AJ35" i="9"/>
  <c r="AJ31" i="9"/>
  <c r="AJ30" i="9"/>
  <c r="AJ29" i="9"/>
  <c r="AJ28" i="9"/>
  <c r="AJ27" i="9"/>
  <c r="AJ26" i="9"/>
  <c r="AJ25" i="9"/>
  <c r="AJ21" i="9"/>
  <c r="AJ20" i="9"/>
  <c r="AJ19" i="9"/>
  <c r="AJ18" i="9"/>
  <c r="AJ17" i="9"/>
  <c r="AJ16" i="9"/>
  <c r="AJ15" i="9"/>
  <c r="AJ11" i="9"/>
  <c r="AJ10" i="9"/>
  <c r="AJ9" i="9"/>
  <c r="AJ8" i="9"/>
  <c r="AJ7" i="9"/>
  <c r="AJ6" i="9"/>
  <c r="AJ5" i="9"/>
  <c r="E44" i="6"/>
  <c r="AK45" i="9" l="1"/>
  <c r="AK47" i="9"/>
  <c r="AK49" i="9"/>
  <c r="AK51" i="9"/>
  <c r="AK46" i="9"/>
  <c r="AK48" i="9"/>
  <c r="AK50" i="9"/>
  <c r="AK36" i="9"/>
  <c r="AK38" i="9"/>
  <c r="AK40" i="9"/>
  <c r="AK35" i="9"/>
  <c r="AK37" i="9"/>
  <c r="AK39" i="9"/>
  <c r="AK41" i="9"/>
  <c r="AK26" i="9"/>
  <c r="AK28" i="9"/>
  <c r="AK30" i="9"/>
  <c r="AK25" i="9"/>
  <c r="AK27" i="9"/>
  <c r="AK29" i="9"/>
  <c r="AK31" i="9"/>
  <c r="AK16" i="9"/>
  <c r="AK18" i="9"/>
  <c r="AK20" i="9"/>
  <c r="AK15" i="9"/>
  <c r="AK17" i="9"/>
  <c r="AK19" i="9"/>
  <c r="AK21" i="9"/>
  <c r="AK5" i="9"/>
  <c r="AK7" i="9"/>
  <c r="AK9" i="9"/>
  <c r="AK11" i="9"/>
  <c r="AK6" i="9"/>
  <c r="AK8" i="9"/>
  <c r="AK10" i="9"/>
  <c r="AD48" i="9"/>
  <c r="AI48" i="9" s="1"/>
  <c r="AD51" i="9"/>
  <c r="AI51" i="9" s="1"/>
  <c r="AC51" i="9"/>
  <c r="AH51" i="9" s="1"/>
  <c r="AB51" i="9"/>
  <c r="AG51" i="9" s="1"/>
  <c r="AA51" i="9"/>
  <c r="AF51" i="9" s="1"/>
  <c r="Z51" i="9"/>
  <c r="AE51" i="9" s="1"/>
  <c r="AD50" i="9"/>
  <c r="AI50" i="9" s="1"/>
  <c r="AC50" i="9"/>
  <c r="AH50" i="9" s="1"/>
  <c r="AB50" i="9"/>
  <c r="AG50" i="9" s="1"/>
  <c r="AA50" i="9"/>
  <c r="AF50" i="9" s="1"/>
  <c r="Z50" i="9"/>
  <c r="AE50" i="9" s="1"/>
  <c r="AD49" i="9"/>
  <c r="AI49" i="9" s="1"/>
  <c r="AC49" i="9"/>
  <c r="AH49" i="9" s="1"/>
  <c r="AB49" i="9"/>
  <c r="AG49" i="9" s="1"/>
  <c r="AA49" i="9"/>
  <c r="AF49" i="9" s="1"/>
  <c r="Z49" i="9"/>
  <c r="AE49" i="9" s="1"/>
  <c r="AC48" i="9"/>
  <c r="AH48" i="9" s="1"/>
  <c r="AB48" i="9"/>
  <c r="AG48" i="9" s="1"/>
  <c r="AA48" i="9"/>
  <c r="AF48" i="9" s="1"/>
  <c r="Z48" i="9"/>
  <c r="AE48" i="9" s="1"/>
  <c r="AD47" i="9"/>
  <c r="AI47" i="9" s="1"/>
  <c r="AC47" i="9"/>
  <c r="AH47" i="9" s="1"/>
  <c r="AB47" i="9"/>
  <c r="AG47" i="9" s="1"/>
  <c r="AA47" i="9"/>
  <c r="AF47" i="9" s="1"/>
  <c r="Z47" i="9"/>
  <c r="AE47" i="9" s="1"/>
  <c r="AD46" i="9"/>
  <c r="AI46" i="9" s="1"/>
  <c r="AC46" i="9"/>
  <c r="AH46" i="9" s="1"/>
  <c r="AB46" i="9"/>
  <c r="AG46" i="9" s="1"/>
  <c r="AA46" i="9"/>
  <c r="AF46" i="9" s="1"/>
  <c r="Z46" i="9"/>
  <c r="AE46" i="9" s="1"/>
  <c r="AD45" i="9"/>
  <c r="AI45" i="9" s="1"/>
  <c r="AC45" i="9"/>
  <c r="AH45" i="9" s="1"/>
  <c r="AB45" i="9"/>
  <c r="AG45" i="9" s="1"/>
  <c r="AA45" i="9"/>
  <c r="AF45" i="9" s="1"/>
  <c r="Z45" i="9"/>
  <c r="AE45" i="9" s="1"/>
  <c r="AD41" i="9"/>
  <c r="AI41" i="9" s="1"/>
  <c r="AC41" i="9"/>
  <c r="AH41" i="9" s="1"/>
  <c r="E41" i="9" s="1"/>
  <c r="AB41" i="9"/>
  <c r="AG41" i="9" s="1"/>
  <c r="AA41" i="9"/>
  <c r="AF41" i="9" s="1"/>
  <c r="Z41" i="9"/>
  <c r="AE41" i="9" s="1"/>
  <c r="AD40" i="9"/>
  <c r="AI40" i="9" s="1"/>
  <c r="AC40" i="9"/>
  <c r="AH40" i="9" s="1"/>
  <c r="E40" i="9" s="1"/>
  <c r="AB40" i="9"/>
  <c r="AG40" i="9" s="1"/>
  <c r="AA40" i="9"/>
  <c r="AF40" i="9" s="1"/>
  <c r="Z40" i="9"/>
  <c r="AE40" i="9" s="1"/>
  <c r="AD39" i="9"/>
  <c r="AI39" i="9" s="1"/>
  <c r="AC39" i="9"/>
  <c r="AH39" i="9" s="1"/>
  <c r="E39" i="9" s="1"/>
  <c r="AB39" i="9"/>
  <c r="AG39" i="9" s="1"/>
  <c r="AA39" i="9"/>
  <c r="AF39" i="9" s="1"/>
  <c r="Z39" i="9"/>
  <c r="AE39" i="9" s="1"/>
  <c r="AD38" i="9"/>
  <c r="AI38" i="9" s="1"/>
  <c r="AC38" i="9"/>
  <c r="AH38" i="9" s="1"/>
  <c r="E38" i="9" s="1"/>
  <c r="AB38" i="9"/>
  <c r="AG38" i="9" s="1"/>
  <c r="AA38" i="9"/>
  <c r="AF38" i="9" s="1"/>
  <c r="Z38" i="9"/>
  <c r="AE38" i="9" s="1"/>
  <c r="AD37" i="9"/>
  <c r="AI37" i="9" s="1"/>
  <c r="AC37" i="9"/>
  <c r="AH37" i="9" s="1"/>
  <c r="E37" i="9" s="1"/>
  <c r="AB37" i="9"/>
  <c r="AG37" i="9" s="1"/>
  <c r="AA37" i="9"/>
  <c r="AF37" i="9" s="1"/>
  <c r="Z37" i="9"/>
  <c r="AE37" i="9" s="1"/>
  <c r="AD36" i="9"/>
  <c r="AI36" i="9" s="1"/>
  <c r="AC36" i="9"/>
  <c r="AH36" i="9" s="1"/>
  <c r="E36" i="9" s="1"/>
  <c r="AB36" i="9"/>
  <c r="AG36" i="9" s="1"/>
  <c r="AA36" i="9"/>
  <c r="AF36" i="9" s="1"/>
  <c r="Z36" i="9"/>
  <c r="AE36" i="9" s="1"/>
  <c r="AD35" i="9"/>
  <c r="AI35" i="9" s="1"/>
  <c r="AC35" i="9"/>
  <c r="AH35" i="9" s="1"/>
  <c r="E35" i="9" s="1"/>
  <c r="AB35" i="9"/>
  <c r="AG35" i="9" s="1"/>
  <c r="AA35" i="9"/>
  <c r="AF35" i="9" s="1"/>
  <c r="Z35" i="9"/>
  <c r="AE35" i="9" s="1"/>
  <c r="AD31" i="9"/>
  <c r="AI31" i="9" s="1"/>
  <c r="AC31" i="9"/>
  <c r="AH31" i="9" s="1"/>
  <c r="AB31" i="9"/>
  <c r="AG31" i="9" s="1"/>
  <c r="AA31" i="9"/>
  <c r="AF31" i="9" s="1"/>
  <c r="E31" i="9" s="1"/>
  <c r="Z31" i="9"/>
  <c r="AE31" i="9" s="1"/>
  <c r="AD30" i="9"/>
  <c r="AI30" i="9" s="1"/>
  <c r="AC30" i="9"/>
  <c r="AH30" i="9" s="1"/>
  <c r="AB30" i="9"/>
  <c r="AG30" i="9" s="1"/>
  <c r="D30" i="9" s="1"/>
  <c r="AA30" i="9"/>
  <c r="AF30" i="9" s="1"/>
  <c r="E30" i="9" s="1"/>
  <c r="Z30" i="9"/>
  <c r="AE30" i="9" s="1"/>
  <c r="AD29" i="9"/>
  <c r="AI29" i="9" s="1"/>
  <c r="AC29" i="9"/>
  <c r="AH29" i="9" s="1"/>
  <c r="AB29" i="9"/>
  <c r="AG29" i="9" s="1"/>
  <c r="AA29" i="9"/>
  <c r="AF29" i="9" s="1"/>
  <c r="E29" i="9" s="1"/>
  <c r="Z29" i="9"/>
  <c r="AE29" i="9" s="1"/>
  <c r="AD28" i="9"/>
  <c r="AI28" i="9" s="1"/>
  <c r="AC28" i="9"/>
  <c r="AH28" i="9" s="1"/>
  <c r="AB28" i="9"/>
  <c r="AG28" i="9" s="1"/>
  <c r="AA28" i="9"/>
  <c r="AF28" i="9" s="1"/>
  <c r="E28" i="9" s="1"/>
  <c r="Z28" i="9"/>
  <c r="AE28" i="9" s="1"/>
  <c r="AD27" i="9"/>
  <c r="AI27" i="9" s="1"/>
  <c r="AC27" i="9"/>
  <c r="AH27" i="9" s="1"/>
  <c r="AB27" i="9"/>
  <c r="AG27" i="9" s="1"/>
  <c r="AA27" i="9"/>
  <c r="AF27" i="9" s="1"/>
  <c r="E27" i="9" s="1"/>
  <c r="Z27" i="9"/>
  <c r="AE27" i="9" s="1"/>
  <c r="AD26" i="9"/>
  <c r="AC26" i="9"/>
  <c r="AH26" i="9" s="1"/>
  <c r="AB26" i="9"/>
  <c r="AG26" i="9" s="1"/>
  <c r="D26" i="9" s="1"/>
  <c r="AA26" i="9"/>
  <c r="AF26" i="9" s="1"/>
  <c r="E26" i="9" s="1"/>
  <c r="Z26" i="9"/>
  <c r="AE26" i="9" s="1"/>
  <c r="AD25" i="9"/>
  <c r="AI25" i="9" s="1"/>
  <c r="AC25" i="9"/>
  <c r="AH25" i="9" s="1"/>
  <c r="AB25" i="9"/>
  <c r="AG25" i="9" s="1"/>
  <c r="D25" i="9" s="1"/>
  <c r="AA25" i="9"/>
  <c r="AF25" i="9" s="1"/>
  <c r="E25" i="9" s="1"/>
  <c r="Z25" i="9"/>
  <c r="AE25" i="9" s="1"/>
  <c r="AD21" i="9"/>
  <c r="AI21" i="9" s="1"/>
  <c r="AC21" i="9"/>
  <c r="AH21" i="9" s="1"/>
  <c r="E21" i="9" s="1"/>
  <c r="AB21" i="9"/>
  <c r="AG21" i="9" s="1"/>
  <c r="AA21" i="9"/>
  <c r="AF21" i="9" s="1"/>
  <c r="Z21" i="9"/>
  <c r="AE21" i="9" s="1"/>
  <c r="AD20" i="9"/>
  <c r="AI20" i="9" s="1"/>
  <c r="AC20" i="9"/>
  <c r="AH20" i="9" s="1"/>
  <c r="E20" i="9" s="1"/>
  <c r="AB20" i="9"/>
  <c r="AG20" i="9" s="1"/>
  <c r="AA20" i="9"/>
  <c r="AF20" i="9" s="1"/>
  <c r="Z20" i="9"/>
  <c r="AE20" i="9" s="1"/>
  <c r="AD19" i="9"/>
  <c r="AI19" i="9" s="1"/>
  <c r="AC19" i="9"/>
  <c r="AH19" i="9" s="1"/>
  <c r="E19" i="9" s="1"/>
  <c r="AB19" i="9"/>
  <c r="AG19" i="9" s="1"/>
  <c r="AA19" i="9"/>
  <c r="AF19" i="9" s="1"/>
  <c r="Z19" i="9"/>
  <c r="AE19" i="9" s="1"/>
  <c r="AD18" i="9"/>
  <c r="AI18" i="9" s="1"/>
  <c r="AC18" i="9"/>
  <c r="AH18" i="9" s="1"/>
  <c r="E18" i="9" s="1"/>
  <c r="AB18" i="9"/>
  <c r="AG18" i="9" s="1"/>
  <c r="AA18" i="9"/>
  <c r="AF18" i="9" s="1"/>
  <c r="Z18" i="9"/>
  <c r="AE18" i="9" s="1"/>
  <c r="AD17" i="9"/>
  <c r="AI17" i="9" s="1"/>
  <c r="AC17" i="9"/>
  <c r="AH17" i="9" s="1"/>
  <c r="E17" i="9" s="1"/>
  <c r="AB17" i="9"/>
  <c r="AG17" i="9" s="1"/>
  <c r="D17" i="9" s="1"/>
  <c r="AA17" i="9"/>
  <c r="AF17" i="9" s="1"/>
  <c r="Z17" i="9"/>
  <c r="AE17" i="9" s="1"/>
  <c r="AD16" i="9"/>
  <c r="AI16" i="9" s="1"/>
  <c r="AC16" i="9"/>
  <c r="AH16" i="9" s="1"/>
  <c r="E16" i="9" s="1"/>
  <c r="AB16" i="9"/>
  <c r="AG16" i="9" s="1"/>
  <c r="AA16" i="9"/>
  <c r="AF16" i="9" s="1"/>
  <c r="Z16" i="9"/>
  <c r="AE16" i="9" s="1"/>
  <c r="AD15" i="9"/>
  <c r="AI15" i="9" s="1"/>
  <c r="AC15" i="9"/>
  <c r="AH15" i="9" s="1"/>
  <c r="E15" i="9" s="1"/>
  <c r="AB15" i="9"/>
  <c r="AG15" i="9" s="1"/>
  <c r="AA15" i="9"/>
  <c r="AF15" i="9" s="1"/>
  <c r="Z15" i="9"/>
  <c r="AE15" i="9" s="1"/>
  <c r="AB6" i="9"/>
  <c r="AG6" i="9" s="1"/>
  <c r="AC6" i="9"/>
  <c r="AH6" i="9" s="1"/>
  <c r="AD6" i="9"/>
  <c r="AI6" i="9" s="1"/>
  <c r="AB7" i="9"/>
  <c r="AG7" i="9" s="1"/>
  <c r="D7" i="9" s="1"/>
  <c r="AC7" i="9"/>
  <c r="AH7" i="9" s="1"/>
  <c r="AD7" i="9"/>
  <c r="AI7" i="9" s="1"/>
  <c r="AB8" i="9"/>
  <c r="AG8" i="9" s="1"/>
  <c r="AC8" i="9"/>
  <c r="AH8" i="9" s="1"/>
  <c r="AD8" i="9"/>
  <c r="AI8" i="9" s="1"/>
  <c r="AB9" i="9"/>
  <c r="AG9" i="9" s="1"/>
  <c r="AC9" i="9"/>
  <c r="AH9" i="9" s="1"/>
  <c r="AD9" i="9"/>
  <c r="AI9" i="9" s="1"/>
  <c r="AB10" i="9"/>
  <c r="AG10" i="9" s="1"/>
  <c r="AC10" i="9"/>
  <c r="AH10" i="9" s="1"/>
  <c r="AD10" i="9"/>
  <c r="AI10" i="9" s="1"/>
  <c r="AB11" i="9"/>
  <c r="AG11" i="9" s="1"/>
  <c r="AC11" i="9"/>
  <c r="AH11" i="9" s="1"/>
  <c r="AD11" i="9"/>
  <c r="AI11" i="9" s="1"/>
  <c r="AD5" i="9"/>
  <c r="AI5" i="9" s="1"/>
  <c r="AC5" i="9"/>
  <c r="AH5" i="9" s="1"/>
  <c r="AB5" i="9"/>
  <c r="AG5" i="9" s="1"/>
  <c r="D5" i="9" s="1"/>
  <c r="AA6" i="9"/>
  <c r="AF6" i="9" s="1"/>
  <c r="AA7" i="9"/>
  <c r="AF7" i="9" s="1"/>
  <c r="AA8" i="9"/>
  <c r="AF8" i="9" s="1"/>
  <c r="AA9" i="9"/>
  <c r="AF9" i="9" s="1"/>
  <c r="AA10" i="9"/>
  <c r="AF10" i="9" s="1"/>
  <c r="AA11" i="9"/>
  <c r="AF11" i="9" s="1"/>
  <c r="AA5" i="9"/>
  <c r="AF5" i="9" s="1"/>
  <c r="Z6" i="9"/>
  <c r="AE6" i="9" s="1"/>
  <c r="Z7" i="9"/>
  <c r="AE7" i="9" s="1"/>
  <c r="Z8" i="9"/>
  <c r="AE8" i="9" s="1"/>
  <c r="Z9" i="9"/>
  <c r="AE9" i="9" s="1"/>
  <c r="Z10" i="9"/>
  <c r="AE10" i="9" s="1"/>
  <c r="Z11" i="9"/>
  <c r="AE11" i="9" s="1"/>
  <c r="Z5" i="9"/>
  <c r="AE5" i="9" s="1"/>
  <c r="D37" i="6"/>
  <c r="E37" i="6" s="1"/>
  <c r="F37" i="6" s="1"/>
  <c r="D15" i="9" l="1"/>
  <c r="N15" i="9" s="1"/>
  <c r="D9" i="9"/>
  <c r="D11" i="9"/>
  <c r="N11" i="9" s="1"/>
  <c r="D29" i="9"/>
  <c r="D16" i="9"/>
  <c r="N16" i="9" s="1"/>
  <c r="D19" i="9"/>
  <c r="N19" i="9" s="1"/>
  <c r="W12" i="13"/>
  <c r="D31" i="9"/>
  <c r="N31" i="9" s="1"/>
  <c r="D48" i="9"/>
  <c r="N48" i="9" s="1"/>
  <c r="D39" i="9"/>
  <c r="N39" i="9" s="1"/>
  <c r="D21" i="9"/>
  <c r="N21" i="9" s="1"/>
  <c r="D28" i="9"/>
  <c r="N28" i="9" s="1"/>
  <c r="D36" i="9"/>
  <c r="N36" i="9" s="1"/>
  <c r="D47" i="9"/>
  <c r="D46" i="9"/>
  <c r="N46" i="9" s="1"/>
  <c r="D18" i="9"/>
  <c r="N18" i="9" s="1"/>
  <c r="D10" i="9"/>
  <c r="D27" i="9"/>
  <c r="N27" i="9" s="1"/>
  <c r="D50" i="9"/>
  <c r="N50" i="9" s="1"/>
  <c r="D35" i="9"/>
  <c r="N35" i="9" s="1"/>
  <c r="D41" i="9"/>
  <c r="N41" i="9" s="1"/>
  <c r="D49" i="9"/>
  <c r="N49" i="9" s="1"/>
  <c r="D6" i="9"/>
  <c r="N6" i="9" s="1"/>
  <c r="D45" i="9"/>
  <c r="N45" i="9" s="1"/>
  <c r="D38" i="9"/>
  <c r="N38" i="9" s="1"/>
  <c r="D51" i="9"/>
  <c r="N51" i="9" s="1"/>
  <c r="D37" i="9"/>
  <c r="N37" i="9" s="1"/>
  <c r="D40" i="9"/>
  <c r="N40" i="9" s="1"/>
  <c r="D20" i="9"/>
  <c r="N20" i="9" s="1"/>
  <c r="D8" i="9"/>
  <c r="N8" i="9" s="1"/>
  <c r="L19" i="13"/>
  <c r="L23" i="13"/>
  <c r="L21" i="13"/>
  <c r="L25" i="13"/>
  <c r="N26" i="9"/>
  <c r="N30" i="9"/>
  <c r="N25" i="9"/>
  <c r="N17" i="9"/>
  <c r="L36" i="9"/>
  <c r="L38" i="9"/>
  <c r="L40" i="9"/>
  <c r="L35" i="9"/>
  <c r="L37" i="9"/>
  <c r="L39" i="9"/>
  <c r="L41" i="9"/>
  <c r="L16" i="9"/>
  <c r="L18" i="9"/>
  <c r="L20" i="9"/>
  <c r="L15" i="9"/>
  <c r="L17" i="9"/>
  <c r="L19" i="9"/>
  <c r="L21" i="9"/>
  <c r="O5" i="9"/>
  <c r="O46" i="9"/>
  <c r="O48" i="9"/>
  <c r="O49" i="9"/>
  <c r="O51" i="9"/>
  <c r="O45" i="9"/>
  <c r="O47" i="9"/>
  <c r="O50" i="9"/>
  <c r="O35" i="9"/>
  <c r="O37" i="9"/>
  <c r="O39" i="9"/>
  <c r="O41" i="9"/>
  <c r="O36" i="9"/>
  <c r="O38" i="9"/>
  <c r="O40" i="9"/>
  <c r="O26" i="9"/>
  <c r="O28" i="9"/>
  <c r="O30" i="9"/>
  <c r="O25" i="9"/>
  <c r="O27" i="9"/>
  <c r="O29" i="9"/>
  <c r="O31" i="9"/>
  <c r="O15" i="9"/>
  <c r="O17" i="9"/>
  <c r="O19" i="9"/>
  <c r="O21" i="9"/>
  <c r="O16" i="9"/>
  <c r="O18" i="9"/>
  <c r="O20" i="9"/>
  <c r="O11" i="9"/>
  <c r="O7" i="9"/>
  <c r="O9" i="9"/>
  <c r="O10" i="9"/>
  <c r="O8" i="9"/>
  <c r="O6" i="9"/>
  <c r="K10" i="9"/>
  <c r="L10" i="9"/>
  <c r="K8" i="9"/>
  <c r="L8" i="9"/>
  <c r="K6" i="9"/>
  <c r="L6" i="9"/>
  <c r="K25" i="9"/>
  <c r="L25" i="9"/>
  <c r="K27" i="9"/>
  <c r="L27" i="9"/>
  <c r="K29" i="9"/>
  <c r="L29" i="9"/>
  <c r="K31" i="9"/>
  <c r="L31" i="9"/>
  <c r="K45" i="9"/>
  <c r="L45" i="9"/>
  <c r="K47" i="9"/>
  <c r="L47" i="9"/>
  <c r="K50" i="9"/>
  <c r="L50" i="9"/>
  <c r="K11" i="9"/>
  <c r="L11" i="9"/>
  <c r="K9" i="9"/>
  <c r="L9" i="9"/>
  <c r="K7" i="9"/>
  <c r="L7" i="9"/>
  <c r="K26" i="9"/>
  <c r="L26" i="9"/>
  <c r="K28" i="9"/>
  <c r="L28" i="9"/>
  <c r="K30" i="9"/>
  <c r="L30" i="9"/>
  <c r="K46" i="9"/>
  <c r="L46" i="9"/>
  <c r="K48" i="9"/>
  <c r="L48" i="9"/>
  <c r="K49" i="9"/>
  <c r="L49" i="9"/>
  <c r="K51" i="9"/>
  <c r="L51" i="9"/>
  <c r="K5" i="9"/>
  <c r="L5" i="9"/>
  <c r="K16" i="9"/>
  <c r="K18" i="9"/>
  <c r="K20" i="9"/>
  <c r="K36" i="9"/>
  <c r="K38" i="9"/>
  <c r="K40" i="9"/>
  <c r="K15" i="9"/>
  <c r="K17" i="9"/>
  <c r="K19" i="9"/>
  <c r="K21" i="9"/>
  <c r="K35" i="9"/>
  <c r="K37" i="9"/>
  <c r="K39" i="9"/>
  <c r="K41" i="9"/>
  <c r="G37" i="6"/>
  <c r="F46" i="9"/>
  <c r="J46" i="9"/>
  <c r="G47" i="9"/>
  <c r="I47" i="9"/>
  <c r="F48" i="9"/>
  <c r="F49" i="9"/>
  <c r="J49" i="9"/>
  <c r="G50" i="9"/>
  <c r="I50" i="9"/>
  <c r="F51" i="9"/>
  <c r="J51" i="9"/>
  <c r="G46" i="9"/>
  <c r="I46" i="9"/>
  <c r="F47" i="9"/>
  <c r="J47" i="9"/>
  <c r="G48" i="9"/>
  <c r="I48" i="9"/>
  <c r="G49" i="9"/>
  <c r="I49" i="9"/>
  <c r="F50" i="9"/>
  <c r="J50" i="9"/>
  <c r="G51" i="9"/>
  <c r="I51" i="9"/>
  <c r="J48" i="9"/>
  <c r="G45" i="9"/>
  <c r="I45" i="9"/>
  <c r="J45" i="9"/>
  <c r="F45" i="9"/>
  <c r="F36" i="9"/>
  <c r="G37" i="9"/>
  <c r="F38" i="9"/>
  <c r="G39" i="9"/>
  <c r="G36" i="9"/>
  <c r="F37" i="9"/>
  <c r="J37" i="9"/>
  <c r="G38" i="9"/>
  <c r="F39" i="9"/>
  <c r="J39" i="9"/>
  <c r="G40" i="9"/>
  <c r="F41" i="9"/>
  <c r="J41" i="9"/>
  <c r="J36" i="9"/>
  <c r="J38" i="9"/>
  <c r="F40" i="9"/>
  <c r="J40" i="9"/>
  <c r="G41" i="9"/>
  <c r="J35" i="9"/>
  <c r="G35" i="9"/>
  <c r="F35" i="9"/>
  <c r="F26" i="9"/>
  <c r="I27" i="9"/>
  <c r="F28" i="9"/>
  <c r="J28" i="9"/>
  <c r="I29" i="9"/>
  <c r="F30" i="9"/>
  <c r="J30" i="9"/>
  <c r="I31" i="9"/>
  <c r="I26" i="9"/>
  <c r="F27" i="9"/>
  <c r="J27" i="9"/>
  <c r="I28" i="9"/>
  <c r="F29" i="9"/>
  <c r="J29" i="9"/>
  <c r="I30" i="9"/>
  <c r="F31" i="9"/>
  <c r="J31" i="9"/>
  <c r="I25" i="9"/>
  <c r="J25" i="9"/>
  <c r="F25" i="9"/>
  <c r="J15" i="9"/>
  <c r="G16" i="9"/>
  <c r="J17" i="9"/>
  <c r="G18" i="9"/>
  <c r="J19" i="9"/>
  <c r="G20" i="9"/>
  <c r="J21" i="9"/>
  <c r="G15" i="9"/>
  <c r="J16" i="9"/>
  <c r="G17" i="9"/>
  <c r="J18" i="9"/>
  <c r="G19" i="9"/>
  <c r="J20" i="9"/>
  <c r="G21" i="9"/>
  <c r="F18" i="9"/>
  <c r="F20" i="9"/>
  <c r="F17" i="9"/>
  <c r="F19" i="9"/>
  <c r="F21" i="9"/>
  <c r="F16" i="9"/>
  <c r="F15" i="9"/>
  <c r="F11" i="9"/>
  <c r="F9" i="9"/>
  <c r="F7" i="9"/>
  <c r="G10" i="9"/>
  <c r="G8" i="9"/>
  <c r="G6" i="9"/>
  <c r="J11" i="9"/>
  <c r="I10" i="9"/>
  <c r="J9" i="9"/>
  <c r="I8" i="9"/>
  <c r="J7" i="9"/>
  <c r="I6" i="9"/>
  <c r="F10" i="9"/>
  <c r="F8" i="9"/>
  <c r="F6" i="9"/>
  <c r="G11" i="9"/>
  <c r="G9" i="9"/>
  <c r="G7" i="9"/>
  <c r="I11" i="9"/>
  <c r="J10" i="9"/>
  <c r="I9" i="9"/>
  <c r="J8" i="9"/>
  <c r="I7" i="9"/>
  <c r="J6" i="9"/>
  <c r="G5" i="9"/>
  <c r="I5" i="9"/>
  <c r="J5" i="9"/>
  <c r="F5" i="9"/>
  <c r="I16" i="9"/>
  <c r="I18" i="9"/>
  <c r="I20" i="9"/>
  <c r="G25" i="9"/>
  <c r="G27" i="9"/>
  <c r="G29" i="9"/>
  <c r="G31" i="9"/>
  <c r="I36" i="9"/>
  <c r="I38" i="9"/>
  <c r="I40" i="9"/>
  <c r="I15" i="9"/>
  <c r="I17" i="9"/>
  <c r="I19" i="9"/>
  <c r="I21" i="9"/>
  <c r="G26" i="9"/>
  <c r="G28" i="9"/>
  <c r="G30" i="9"/>
  <c r="I35" i="9"/>
  <c r="I37" i="9"/>
  <c r="I39" i="9"/>
  <c r="I41" i="9"/>
  <c r="H11" i="9"/>
  <c r="H9" i="9"/>
  <c r="H7" i="9"/>
  <c r="H15" i="9"/>
  <c r="H17" i="9"/>
  <c r="H19" i="9"/>
  <c r="H21" i="9"/>
  <c r="H26" i="9"/>
  <c r="H28" i="9"/>
  <c r="H30" i="9"/>
  <c r="H35" i="9"/>
  <c r="H37" i="9"/>
  <c r="H39" i="9"/>
  <c r="H41" i="9"/>
  <c r="H46" i="9"/>
  <c r="H48" i="9"/>
  <c r="H49" i="9"/>
  <c r="H51" i="9"/>
  <c r="H10" i="9"/>
  <c r="H8" i="9"/>
  <c r="H6" i="9"/>
  <c r="H16" i="9"/>
  <c r="H18" i="9"/>
  <c r="H20" i="9"/>
  <c r="H25" i="9"/>
  <c r="H27" i="9"/>
  <c r="H29" i="9"/>
  <c r="H31" i="9"/>
  <c r="H36" i="9"/>
  <c r="H38" i="9"/>
  <c r="H40" i="9"/>
  <c r="H45" i="9"/>
  <c r="H47" i="9"/>
  <c r="H50" i="9"/>
  <c r="H5" i="9"/>
  <c r="AI26" i="9"/>
  <c r="L27" i="13" s="1"/>
  <c r="A7" i="13" l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C6" i="13" s="1"/>
  <c r="C7" i="13" s="1"/>
  <c r="C8" i="13" s="1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W10" i="13"/>
  <c r="N47" i="9"/>
  <c r="M11" i="9"/>
  <c r="N7" i="9"/>
  <c r="AE12" i="13"/>
  <c r="AE10" i="13"/>
  <c r="N5" i="9"/>
  <c r="N10" i="9"/>
  <c r="N25" i="13"/>
  <c r="N19" i="13"/>
  <c r="N27" i="13"/>
  <c r="N21" i="13"/>
  <c r="N23" i="13"/>
  <c r="U16" i="13"/>
  <c r="N29" i="9"/>
  <c r="N9" i="9"/>
  <c r="M50" i="9"/>
  <c r="M47" i="9"/>
  <c r="M45" i="9"/>
  <c r="M51" i="9"/>
  <c r="M49" i="9"/>
  <c r="M48" i="9"/>
  <c r="M46" i="9"/>
  <c r="M40" i="9"/>
  <c r="M38" i="9"/>
  <c r="M36" i="9"/>
  <c r="M41" i="9"/>
  <c r="M39" i="9"/>
  <c r="M37" i="9"/>
  <c r="M35" i="9"/>
  <c r="M7" i="9"/>
  <c r="M31" i="9"/>
  <c r="M29" i="9"/>
  <c r="M27" i="9"/>
  <c r="M25" i="9"/>
  <c r="M30" i="9"/>
  <c r="M28" i="9"/>
  <c r="M26" i="9"/>
  <c r="M10" i="9"/>
  <c r="M20" i="9"/>
  <c r="M18" i="9"/>
  <c r="M16" i="9"/>
  <c r="M21" i="9"/>
  <c r="M19" i="9"/>
  <c r="M17" i="9"/>
  <c r="M15" i="9"/>
  <c r="M6" i="9"/>
  <c r="M8" i="9"/>
  <c r="M9" i="9"/>
  <c r="M5" i="9"/>
  <c r="J26" i="9"/>
  <c r="D11" i="6"/>
  <c r="K86" i="6"/>
  <c r="K85" i="6"/>
  <c r="K59" i="6"/>
  <c r="F57" i="6"/>
  <c r="D31" i="6"/>
  <c r="AB16" i="13" l="1"/>
  <c r="AD16" i="13" s="1"/>
  <c r="AB14" i="13"/>
  <c r="AD14" i="13" s="1"/>
  <c r="E139" i="6"/>
  <c r="F139" i="6" s="1"/>
  <c r="D133" i="6"/>
  <c r="H142" i="6"/>
  <c r="G142" i="6"/>
  <c r="G141" i="6"/>
  <c r="E141" i="6"/>
  <c r="F141" i="6" s="1"/>
  <c r="G140" i="6"/>
  <c r="E140" i="6"/>
  <c r="H140" i="6" s="1"/>
  <c r="G139" i="6"/>
  <c r="H128" i="6"/>
  <c r="H114" i="6"/>
  <c r="H100" i="6"/>
  <c r="G128" i="6"/>
  <c r="G127" i="6"/>
  <c r="G100" i="6"/>
  <c r="G114" i="6"/>
  <c r="G113" i="6"/>
  <c r="G112" i="6"/>
  <c r="G111" i="6"/>
  <c r="K133" i="6" l="1"/>
  <c r="K139" i="6"/>
  <c r="K141" i="6"/>
  <c r="H141" i="6"/>
  <c r="F140" i="6"/>
  <c r="D136" i="6"/>
  <c r="K136" i="6" s="1"/>
  <c r="D134" i="6"/>
  <c r="H139" i="6"/>
  <c r="D76" i="6"/>
  <c r="K76" i="6" s="1"/>
  <c r="E81" i="6"/>
  <c r="E127" i="6"/>
  <c r="H127" i="6" s="1"/>
  <c r="E126" i="6"/>
  <c r="E125" i="6"/>
  <c r="D119" i="6"/>
  <c r="E113" i="6"/>
  <c r="H113" i="6" s="1"/>
  <c r="E112" i="6"/>
  <c r="H112" i="6" s="1"/>
  <c r="E111" i="6"/>
  <c r="H111" i="6" s="1"/>
  <c r="E99" i="6"/>
  <c r="E98" i="6"/>
  <c r="E97" i="6"/>
  <c r="G126" i="6" l="1"/>
  <c r="G125" i="6"/>
  <c r="G97" i="6"/>
  <c r="K140" i="6"/>
  <c r="D120" i="6"/>
  <c r="K119" i="6"/>
  <c r="G99" i="6"/>
  <c r="F81" i="6"/>
  <c r="K81" i="6" s="1"/>
  <c r="G81" i="6"/>
  <c r="D78" i="6" s="1"/>
  <c r="K78" i="6" s="1"/>
  <c r="G98" i="6"/>
  <c r="F98" i="6"/>
  <c r="K98" i="6" s="1"/>
  <c r="F99" i="6"/>
  <c r="F97" i="6"/>
  <c r="H97" i="6" s="1"/>
  <c r="F125" i="6"/>
  <c r="H125" i="6" s="1"/>
  <c r="F126" i="6"/>
  <c r="K126" i="6" s="1"/>
  <c r="F127" i="6"/>
  <c r="K127" i="6" s="1"/>
  <c r="F111" i="6"/>
  <c r="K111" i="6" s="1"/>
  <c r="F112" i="6"/>
  <c r="K112" i="6" s="1"/>
  <c r="F113" i="6"/>
  <c r="H126" i="6" l="1"/>
  <c r="H98" i="6"/>
  <c r="K97" i="6"/>
  <c r="K113" i="6"/>
  <c r="K99" i="6"/>
  <c r="K125" i="6"/>
  <c r="H81" i="6"/>
  <c r="H99" i="6"/>
  <c r="D105" i="6"/>
  <c r="D106" i="6" l="1"/>
  <c r="K105" i="6"/>
  <c r="D122" i="6"/>
  <c r="D108" i="6"/>
  <c r="K108" i="6" s="1"/>
  <c r="K122" i="6" l="1"/>
  <c r="D38" i="6"/>
  <c r="E38" i="6" s="1"/>
  <c r="F38" i="6" s="1"/>
  <c r="D39" i="6"/>
  <c r="E39" i="6" s="1"/>
  <c r="F39" i="6" s="1"/>
  <c r="D40" i="6"/>
  <c r="E40" i="6" s="1"/>
  <c r="F40" i="6" s="1"/>
  <c r="D41" i="6"/>
  <c r="E41" i="6" s="1"/>
  <c r="F41" i="6" s="1"/>
  <c r="D44" i="6"/>
  <c r="D91" i="6"/>
  <c r="G41" i="6" l="1"/>
  <c r="F47" i="6"/>
  <c r="F48" i="6"/>
  <c r="K41" i="6"/>
  <c r="K39" i="6"/>
  <c r="K51" i="6"/>
  <c r="K47" i="6"/>
  <c r="K54" i="6"/>
  <c r="K50" i="6"/>
  <c r="K49" i="6"/>
  <c r="K53" i="6"/>
  <c r="K52" i="6"/>
  <c r="K48" i="6"/>
  <c r="K40" i="6"/>
  <c r="K38" i="6"/>
  <c r="K91" i="6"/>
  <c r="K37" i="6"/>
  <c r="E43" i="6"/>
  <c r="G39" i="6"/>
  <c r="G38" i="6"/>
  <c r="E58" i="6"/>
  <c r="F68" i="6"/>
  <c r="D63" i="6"/>
  <c r="F69" i="6"/>
  <c r="F71" i="6"/>
  <c r="E66" i="6"/>
  <c r="F52" i="6"/>
  <c r="E46" i="6"/>
  <c r="D66" i="6"/>
  <c r="G40" i="6"/>
  <c r="D94" i="6"/>
  <c r="F54" i="6"/>
  <c r="F50" i="6"/>
  <c r="D92" i="6"/>
  <c r="F70" i="6"/>
  <c r="F51" i="6"/>
  <c r="F53" i="6"/>
  <c r="F49" i="6"/>
  <c r="K94" i="6" l="1"/>
  <c r="D9" i="6" s="1"/>
  <c r="F44" i="6"/>
  <c r="F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Václav Křapáček</author>
  </authors>
  <commentList>
    <comment ref="G8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Guff:</t>
        </r>
        <r>
          <rPr>
            <sz val="9"/>
            <color indexed="81"/>
            <rFont val="Tahoma"/>
            <family val="2"/>
            <charset val="238"/>
          </rPr>
          <t xml:space="preserve">
Počet využitých sfér</t>
        </r>
      </text>
    </comment>
    <comment ref="G9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Guff:</t>
        </r>
        <r>
          <rPr>
            <sz val="9"/>
            <color indexed="81"/>
            <rFont val="Tahoma"/>
            <family val="2"/>
            <charset val="238"/>
          </rPr>
          <t xml:space="preserve">
Počet využitých sfér</t>
        </r>
      </text>
    </comment>
    <comment ref="G11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Guff:</t>
        </r>
        <r>
          <rPr>
            <sz val="9"/>
            <color indexed="81"/>
            <rFont val="Tahoma"/>
            <family val="2"/>
            <charset val="238"/>
          </rPr>
          <t xml:space="preserve">
Počet využitých sfér</t>
        </r>
      </text>
    </comment>
    <comment ref="G12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Guff:</t>
        </r>
        <r>
          <rPr>
            <sz val="9"/>
            <color indexed="81"/>
            <rFont val="Tahoma"/>
            <family val="2"/>
            <charset val="238"/>
          </rPr>
          <t xml:space="preserve">
Počet využitých sfér</t>
        </r>
      </text>
    </comment>
    <comment ref="G13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Guff:</t>
        </r>
        <r>
          <rPr>
            <sz val="9"/>
            <color indexed="81"/>
            <rFont val="Tahoma"/>
            <family val="2"/>
            <charset val="238"/>
          </rPr>
          <t xml:space="preserve">
Počet využitých sfér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Guff</author>
  </authors>
  <commentList>
    <comment ref="G13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Guff:</t>
        </r>
        <r>
          <rPr>
            <sz val="9"/>
            <color indexed="81"/>
            <rFont val="Tahoma"/>
            <family val="2"/>
            <charset val="238"/>
          </rPr>
          <t xml:space="preserve">
0 - pouze pro boj zblizka
1 - pouze strelna
2 - pouze vrhaci (kamen)
3 - pro boj zblizka a vrhaci </t>
        </r>
      </text>
    </comment>
  </commentList>
</comments>
</file>

<file path=xl/sharedStrings.xml><?xml version="1.0" encoding="utf-8"?>
<sst xmlns="http://schemas.openxmlformats.org/spreadsheetml/2006/main" count="613" uniqueCount="375">
  <si>
    <t>Válečník</t>
  </si>
  <si>
    <t>Hobit</t>
  </si>
  <si>
    <t>Kudůk</t>
  </si>
  <si>
    <t>Trpaslík</t>
  </si>
  <si>
    <t>Elf</t>
  </si>
  <si>
    <t>Člověk</t>
  </si>
  <si>
    <t>Barbar</t>
  </si>
  <si>
    <t>Kroll</t>
  </si>
  <si>
    <t>Hraničář</t>
  </si>
  <si>
    <t>SIL</t>
  </si>
  <si>
    <t>OBR</t>
  </si>
  <si>
    <t>ODL</t>
  </si>
  <si>
    <t>INT</t>
  </si>
  <si>
    <t>CHAR</t>
  </si>
  <si>
    <t>Borgar</t>
  </si>
  <si>
    <t>Popis postavy</t>
  </si>
  <si>
    <t>Síla</t>
  </si>
  <si>
    <t>Postřeh</t>
  </si>
  <si>
    <t>Životy</t>
  </si>
  <si>
    <t>Odolnost</t>
  </si>
  <si>
    <t>Obratnost</t>
  </si>
  <si>
    <t>Inteligence</t>
  </si>
  <si>
    <t>Charisma</t>
  </si>
  <si>
    <t>Velikost</t>
  </si>
  <si>
    <t>Zbraň</t>
  </si>
  <si>
    <t>ÚČ</t>
  </si>
  <si>
    <t>útoč.</t>
  </si>
  <si>
    <t>OZ</t>
  </si>
  <si>
    <t>Věc</t>
  </si>
  <si>
    <t>Vyber rasu</t>
  </si>
  <si>
    <t>Vyber základní povolání</t>
  </si>
  <si>
    <t>Vyber nový obor</t>
  </si>
  <si>
    <t>Vyber úroveň</t>
  </si>
  <si>
    <t>bojovník</t>
  </si>
  <si>
    <t>šermíř</t>
  </si>
  <si>
    <t>druid</t>
  </si>
  <si>
    <t>chodec</t>
  </si>
  <si>
    <t>theurgh</t>
  </si>
  <si>
    <t>pyrofor</t>
  </si>
  <si>
    <t>čaroděj</t>
  </si>
  <si>
    <t>mág</t>
  </si>
  <si>
    <t>lupič</t>
  </si>
  <si>
    <t>sicco</t>
  </si>
  <si>
    <t>hobit</t>
  </si>
  <si>
    <t>kudůk</t>
  </si>
  <si>
    <t>trpaslík</t>
  </si>
  <si>
    <t>elf</t>
  </si>
  <si>
    <t>člověk</t>
  </si>
  <si>
    <t>barbar</t>
  </si>
  <si>
    <t>kroll</t>
  </si>
  <si>
    <t>Druid</t>
  </si>
  <si>
    <t>Chodec</t>
  </si>
  <si>
    <t>Magy</t>
  </si>
  <si>
    <t>TABULKA OPRAV VLASTNOSTÍ DLE POVOLÁNÍ</t>
  </si>
  <si>
    <t>HOD K6</t>
  </si>
  <si>
    <t>TABULKA VLASTNOSTÍ PODLE POVOLÁNÍ</t>
  </si>
  <si>
    <t>TABULKA VLASTNOSTÍ PODLE RASY</t>
  </si>
  <si>
    <t>k6</t>
  </si>
  <si>
    <t>#k6</t>
  </si>
  <si>
    <t>Vlastnost</t>
  </si>
  <si>
    <t>Bonus</t>
  </si>
  <si>
    <t>Bonus/Postih</t>
  </si>
  <si>
    <t>TABULKA ŽIVOTŮ</t>
  </si>
  <si>
    <r>
      <t>Úrove</t>
    </r>
    <r>
      <rPr>
        <sz val="11"/>
        <color theme="1"/>
        <rFont val="Calibri"/>
        <family val="2"/>
        <charset val="238"/>
      </rPr>
      <t>ň</t>
    </r>
  </si>
  <si>
    <t>k?</t>
  </si>
  <si>
    <t>Základ</t>
  </si>
  <si>
    <t>add</t>
  </si>
  <si>
    <t>add9+</t>
  </si>
  <si>
    <t>Hod</t>
  </si>
  <si>
    <t>životy</t>
  </si>
  <si>
    <t>TABULKA HRANIČÁŘOVY MAGENERGIE</t>
  </si>
  <si>
    <t>TABULKA DRUIDOVY MAGENERGIE</t>
  </si>
  <si>
    <t>TABULKA CHODCOVY MAGENERGIE</t>
  </si>
  <si>
    <t>TABULKA KOUZELNÍKOVY MAGENERGIE</t>
  </si>
  <si>
    <t>kouzla</t>
  </si>
  <si>
    <t>TABULKA ALCHYMISTOVY MAGENERGIE</t>
  </si>
  <si>
    <t>Nostnost</t>
  </si>
  <si>
    <t>POH</t>
  </si>
  <si>
    <t>VEL</t>
  </si>
  <si>
    <t>A</t>
  </si>
  <si>
    <t>B</t>
  </si>
  <si>
    <t>C</t>
  </si>
  <si>
    <t>Pohyblivost</t>
  </si>
  <si>
    <t>Postřeh objekty</t>
  </si>
  <si>
    <t>Postřeh mechanismy</t>
  </si>
  <si>
    <t>Náhodné objevení mechanismy</t>
  </si>
  <si>
    <t>Náhodné objevení objekty</t>
  </si>
  <si>
    <t>TABULKA ZVLÁŠTNÍCH SCHOPNOSTÍ ZLODĚJE</t>
  </si>
  <si>
    <t>Převleky</t>
  </si>
  <si>
    <t>Získání důvěry</t>
  </si>
  <si>
    <t>Objevení mechanismu</t>
  </si>
  <si>
    <t>Objevení objektu</t>
  </si>
  <si>
    <t>Zneškodnění mechanismu</t>
  </si>
  <si>
    <t>Otevření objektu</t>
  </si>
  <si>
    <t>Šplhání po zdech</t>
  </si>
  <si>
    <t>Skok z výšky</t>
  </si>
  <si>
    <t>Tichý pohyb</t>
  </si>
  <si>
    <t>Schování se ve stínu</t>
  </si>
  <si>
    <t>Vybírání kapes</t>
  </si>
  <si>
    <t>TABULKA ZVLÁŠTNÍCH SCHOPNOSTÍ LUPIČE</t>
  </si>
  <si>
    <t>TABULKA ZVLÁŠTNÍCH SCHOPNOSTÍ SICCA</t>
  </si>
  <si>
    <t>Nenápadnost / Odhad lidí</t>
  </si>
  <si>
    <t>válečník</t>
  </si>
  <si>
    <t>hraničář</t>
  </si>
  <si>
    <t>alchymista</t>
  </si>
  <si>
    <t>kouzelník</t>
  </si>
  <si>
    <t>zloděj</t>
  </si>
  <si>
    <t>TABULKA BOJESCHOPNOSTI</t>
  </si>
  <si>
    <t>Odl</t>
  </si>
  <si>
    <t>1-5</t>
  </si>
  <si>
    <t>6-11</t>
  </si>
  <si>
    <t>12-16</t>
  </si>
  <si>
    <t>17-21</t>
  </si>
  <si>
    <t>Počet životů pro vyřazení</t>
  </si>
  <si>
    <t>1/4</t>
  </si>
  <si>
    <t>1/6</t>
  </si>
  <si>
    <t>1/8</t>
  </si>
  <si>
    <t>1 život</t>
  </si>
  <si>
    <t>Postih za méně než 1/3 životů</t>
  </si>
  <si>
    <t>TABULKA KVALITY ZBROJE</t>
  </si>
  <si>
    <t>vycpávaná</t>
  </si>
  <si>
    <t>kožená</t>
  </si>
  <si>
    <t>šupinová</t>
  </si>
  <si>
    <t>kroužková</t>
  </si>
  <si>
    <t>plátová</t>
  </si>
  <si>
    <t>rytířská</t>
  </si>
  <si>
    <t>magická</t>
  </si>
  <si>
    <t>sféra</t>
  </si>
  <si>
    <t>žádná</t>
  </si>
  <si>
    <t>TABULKA ZBRANÍ PRO BOJ TVÁŘÍ V TVÁŘ</t>
  </si>
  <si>
    <t>dýka</t>
  </si>
  <si>
    <t>tesák</t>
  </si>
  <si>
    <t>krátký meč</t>
  </si>
  <si>
    <t>obušek</t>
  </si>
  <si>
    <t>palcát</t>
  </si>
  <si>
    <t>šavle</t>
  </si>
  <si>
    <t>široký meč</t>
  </si>
  <si>
    <t>sekera</t>
  </si>
  <si>
    <t>kyj</t>
  </si>
  <si>
    <t>meč bastard</t>
  </si>
  <si>
    <t>dlouhý meč</t>
  </si>
  <si>
    <t>válečné kladivo</t>
  </si>
  <si>
    <t>řemdih</t>
  </si>
  <si>
    <t>hůl kovaná</t>
  </si>
  <si>
    <t>dvě dýky</t>
  </si>
  <si>
    <t>vidle</t>
  </si>
  <si>
    <t>kopí</t>
  </si>
  <si>
    <t>válečná sekera</t>
  </si>
  <si>
    <t>sudlice</t>
  </si>
  <si>
    <t>píka</t>
  </si>
  <si>
    <t>tesák a dýka</t>
  </si>
  <si>
    <t>krátký meč a dýka</t>
  </si>
  <si>
    <t>cep</t>
  </si>
  <si>
    <t>halapartna</t>
  </si>
  <si>
    <t>obouruční meč</t>
  </si>
  <si>
    <t>těžký kyj</t>
  </si>
  <si>
    <t>trojzubec</t>
  </si>
  <si>
    <t>dvě šavle</t>
  </si>
  <si>
    <t>široký meč a dýka</t>
  </si>
  <si>
    <t>síla</t>
  </si>
  <si>
    <t>útočnost</t>
  </si>
  <si>
    <t>obrana</t>
  </si>
  <si>
    <t>l/s/t</t>
  </si>
  <si>
    <t>obouruční</t>
  </si>
  <si>
    <t>jméno</t>
  </si>
  <si>
    <t>rodová</t>
  </si>
  <si>
    <t>Rod zbraň</t>
  </si>
  <si>
    <t>beze zbraně</t>
  </si>
  <si>
    <t>krátký luk</t>
  </si>
  <si>
    <t>dlouhý luk</t>
  </si>
  <si>
    <t>lehká kuše</t>
  </si>
  <si>
    <t>těžká kuše</t>
  </si>
  <si>
    <t>prak</t>
  </si>
  <si>
    <t>hvězdice</t>
  </si>
  <si>
    <t>kámen</t>
  </si>
  <si>
    <t>oštěp</t>
  </si>
  <si>
    <t>střelná</t>
  </si>
  <si>
    <t>ma/st/dl</t>
  </si>
  <si>
    <t>5/9/12</t>
  </si>
  <si>
    <t>4/8/12</t>
  </si>
  <si>
    <t>3/5/7</t>
  </si>
  <si>
    <t>5/10/15</t>
  </si>
  <si>
    <t>10/20/30</t>
  </si>
  <si>
    <t>15/30/50</t>
  </si>
  <si>
    <t>15/27/40</t>
  </si>
  <si>
    <t>19/35/55</t>
  </si>
  <si>
    <t>9/16/25</t>
  </si>
  <si>
    <t>3/7/11</t>
  </si>
  <si>
    <t>7/11/15</t>
  </si>
  <si>
    <t>6/14/23</t>
  </si>
  <si>
    <t>check</t>
  </si>
  <si>
    <t>široký meč a tesák</t>
  </si>
  <si>
    <t>FORMULÁŘ K VYPLNĚNÍ OSOBNÍHO DENÍKU PRO DRAČÍ DOUPĚ</t>
  </si>
  <si>
    <t>Poznámky:</t>
  </si>
  <si>
    <t>- lze tvořit postavy až do 15. úrovně dle PPZ a PPP 1.6 E</t>
  </si>
  <si>
    <t>sem píše uživatel</t>
  </si>
  <si>
    <t>ZÁKLADNÍ DEFINICE POSTAVY</t>
  </si>
  <si>
    <t>Jméno postavy</t>
  </si>
  <si>
    <t>Borgar je typický trpaslík, tj. je velmi hranatý, ramenatý s hnědým hustým plnovousem, dlouhými mastnými vlasy, hustým obočím a malýma očkama.
Není tlustý, váží asi 1600 mincí (80kg), výškou je průměrný (130 coulů).</t>
  </si>
  <si>
    <t>ZÁKLADNÍ VLASTNOSTI POSTAVY</t>
  </si>
  <si>
    <t>k6 / k10?</t>
  </si>
  <si>
    <t>mn</t>
  </si>
  <si>
    <t>VÝPOČET POČTU MAGŮ POSTAVY</t>
  </si>
  <si>
    <t>Alchymistovy magy navíc</t>
  </si>
  <si>
    <t>OSTATNÍ VLASTNOSTI POSTAVY</t>
  </si>
  <si>
    <t>ZBROJ</t>
  </si>
  <si>
    <t>ZBRAŇ 1</t>
  </si>
  <si>
    <t>- výstupní hodnoty</t>
  </si>
  <si>
    <t>- kontrolní texty</t>
  </si>
  <si>
    <t>Pozn</t>
  </si>
  <si>
    <t>ZBRAŇ 2</t>
  </si>
  <si>
    <t>Maximum</t>
  </si>
  <si>
    <t>Požadavek</t>
  </si>
  <si>
    <t>#Sfér</t>
  </si>
  <si>
    <t>Vlastnost zbraně</t>
  </si>
  <si>
    <t>Útočnost</t>
  </si>
  <si>
    <t>Obrana zbraně</t>
  </si>
  <si>
    <t>ZBRAŇ 3</t>
  </si>
  <si>
    <t>Kvalita zbroje</t>
  </si>
  <si>
    <t>Vlastnost zbroje</t>
  </si>
  <si>
    <t>Výstup</t>
  </si>
  <si>
    <t>-</t>
  </si>
  <si>
    <t>ŠTÍT</t>
  </si>
  <si>
    <t>postava má štít</t>
  </si>
  <si>
    <t>štít je magický</t>
  </si>
  <si>
    <t>ZBRAŇ 4</t>
  </si>
  <si>
    <t>← Něco je strašně špatně</t>
  </si>
  <si>
    <t>Kontrola</t>
  </si>
  <si>
    <t>1 sf = +1</t>
  </si>
  <si>
    <t>1 sf = +2</t>
  </si>
  <si>
    <t>2 sf = +1</t>
  </si>
  <si>
    <t>1 sf = 2 mg</t>
  </si>
  <si>
    <t>Počet využitých sfér</t>
  </si>
  <si>
    <t>- buňky, kam zadává uživatel</t>
  </si>
  <si>
    <t>Hod na 2. úroveň</t>
  </si>
  <si>
    <t>Hod na 3. úroveň</t>
  </si>
  <si>
    <t>Hod na 4. úroveň</t>
  </si>
  <si>
    <t>Hod na 5. úroveň</t>
  </si>
  <si>
    <t>Hod na 6. úroveň</t>
  </si>
  <si>
    <t>Hod na 7. úroveň</t>
  </si>
  <si>
    <t>Hod na 8. úroveň</t>
  </si>
  <si>
    <t>Hod na 9. úroveň</t>
  </si>
  <si>
    <t>SCHOPNOSTI VÁLEČNÍKA</t>
  </si>
  <si>
    <t>Zastrašení</t>
  </si>
  <si>
    <t>Poznávání artefaktů</t>
  </si>
  <si>
    <t>Přesnost</t>
  </si>
  <si>
    <t>Sehranost</t>
  </si>
  <si>
    <t>Léčba vlastních zranění</t>
  </si>
  <si>
    <t>Odhad zbraně</t>
  </si>
  <si>
    <t>Odhad soupeře</t>
  </si>
  <si>
    <t>Vícenásobné útoky</t>
  </si>
  <si>
    <t>SCHOPNOSTI HRANIČÁŘE</t>
  </si>
  <si>
    <t>Boj proti zvířatům</t>
  </si>
  <si>
    <t>Stopování</t>
  </si>
  <si>
    <t>Pes</t>
  </si>
  <si>
    <t>Mimosmyslové schopnosti</t>
  </si>
  <si>
    <t>Kouzla</t>
  </si>
  <si>
    <t>SCHOPNOSTI ALCHYMISTY</t>
  </si>
  <si>
    <t>Odolnost vůči jedům</t>
  </si>
  <si>
    <t>Vidění magenergie</t>
  </si>
  <si>
    <t>Lučba</t>
  </si>
  <si>
    <t>SCHOPNOSTI KOUZELNÍKA</t>
  </si>
  <si>
    <t>Vyvolání přítele</t>
  </si>
  <si>
    <t>Odvracení neviděných</t>
  </si>
  <si>
    <t>SCHOPNOSTI ZLODĚJE</t>
  </si>
  <si>
    <t>Objevení mechanismů</t>
  </si>
  <si>
    <t>Objevení objektů</t>
  </si>
  <si>
    <t>Zneškodnění mechanismů</t>
  </si>
  <si>
    <t>Otevření objektů</t>
  </si>
  <si>
    <t>Probodnutí ze zálohy</t>
  </si>
  <si>
    <t>Výpad a kryt</t>
  </si>
  <si>
    <t>Bojovník</t>
  </si>
  <si>
    <t>Drtivost</t>
  </si>
  <si>
    <t>Průraznost</t>
  </si>
  <si>
    <t>Hrubá síla</t>
  </si>
  <si>
    <t>Změna v berserkra</t>
  </si>
  <si>
    <t>Chladnokrevnost</t>
  </si>
  <si>
    <t>Šermíř</t>
  </si>
  <si>
    <t>Šerm</t>
  </si>
  <si>
    <t>Útok z obrany</t>
  </si>
  <si>
    <t>Cvik</t>
  </si>
  <si>
    <t>Líčení loveckých pastí</t>
  </si>
  <si>
    <t>Nepřirozené chování zvířat</t>
  </si>
  <si>
    <t>Odvracení zvířat</t>
  </si>
  <si>
    <t>Předpovídání počasí</t>
  </si>
  <si>
    <t>Druidova hůl</t>
  </si>
  <si>
    <t>Lesní kouzla</t>
  </si>
  <si>
    <t>Kouzla pocestných</t>
  </si>
  <si>
    <t>Chodcův meč</t>
  </si>
  <si>
    <t>Psychická kouzla</t>
  </si>
  <si>
    <t>Odhad přesvědčení</t>
  </si>
  <si>
    <t>Rychlý pochod</t>
  </si>
  <si>
    <t>Rychlá střelba</t>
  </si>
  <si>
    <t>Hbitost v obraně</t>
  </si>
  <si>
    <t>Ochočování nestvůr</t>
  </si>
  <si>
    <t>sil</t>
  </si>
  <si>
    <t>obr</t>
  </si>
  <si>
    <t>odl</t>
  </si>
  <si>
    <t>int</t>
  </si>
  <si>
    <t>char</t>
  </si>
  <si>
    <t>Ras</t>
  </si>
  <si>
    <t>Pov</t>
  </si>
  <si>
    <t>RASA</t>
  </si>
  <si>
    <t>POVOLÁNÍ</t>
  </si>
  <si>
    <t>Určení počtu životů</t>
  </si>
  <si>
    <t>Určení vlastností - zadej hod kostkou k6</t>
  </si>
  <si>
    <t>Určení počtu hodů k6 dle rasy a povolání</t>
  </si>
  <si>
    <t>Rasa a povolání</t>
  </si>
  <si>
    <t>Obj.</t>
  </si>
  <si>
    <t>Mech.</t>
  </si>
  <si>
    <t>Úroveň</t>
  </si>
  <si>
    <t>Max. životů</t>
  </si>
  <si>
    <t>Max. magů</t>
  </si>
  <si>
    <t>Mez vyř.</t>
  </si>
  <si>
    <t>Postih za 1/3 živ.</t>
  </si>
  <si>
    <t>- obj.</t>
  </si>
  <si>
    <t>- mech.</t>
  </si>
  <si>
    <t>Postih</t>
  </si>
  <si>
    <t>za méně jak</t>
  </si>
  <si>
    <t>životů</t>
  </si>
  <si>
    <t>Vyřazení při dosažení</t>
  </si>
  <si>
    <t>kde</t>
  </si>
  <si>
    <t>poznámka</t>
  </si>
  <si>
    <t>M/S/V</t>
  </si>
  <si>
    <t>Zbroj</t>
  </si>
  <si>
    <t>kval.</t>
  </si>
  <si>
    <t>M/S/V - malý, střední, velký dostřel. U zbraní pro boj tváří v tvář se uvede délka.</t>
  </si>
  <si>
    <t>OČ</t>
  </si>
  <si>
    <t>Kde</t>
  </si>
  <si>
    <t>Poznámka</t>
  </si>
  <si>
    <t>Nejvýznamnější znak:</t>
  </si>
  <si>
    <t>Vlasy</t>
  </si>
  <si>
    <t>Stáří (léta)</t>
  </si>
  <si>
    <t>Váha (kg)</t>
  </si>
  <si>
    <t>Výška (coul)</t>
  </si>
  <si>
    <t>Oči</t>
  </si>
  <si>
    <t>Další poznámky, pes, přítelíček…</t>
  </si>
  <si>
    <t>Schopnosti</t>
  </si>
  <si>
    <t>VZHLED A PRVNÍ DOJEM</t>
  </si>
  <si>
    <t>OSOBNOST</t>
  </si>
  <si>
    <t>Hlavní aspekt:</t>
  </si>
  <si>
    <t>Další aspekt:</t>
  </si>
  <si>
    <t>OSTATNÍ POZNÁMKY</t>
  </si>
  <si>
    <t>Vyber povolání</t>
  </si>
  <si>
    <t>Životní motto:</t>
  </si>
  <si>
    <t>TABULKA NOSNOSTI</t>
  </si>
  <si>
    <t>TABULKA DOVEDNOSTI</t>
  </si>
  <si>
    <t>stupeň</t>
  </si>
  <si>
    <t>vůbec</t>
  </si>
  <si>
    <t>velmi špatně</t>
  </si>
  <si>
    <t>špatně</t>
  </si>
  <si>
    <t>průměrně</t>
  </si>
  <si>
    <t>dobře</t>
  </si>
  <si>
    <t>velmi dobře</t>
  </si>
  <si>
    <t>dokonale</t>
  </si>
  <si>
    <t>past</t>
  </si>
  <si>
    <t>Lehká</t>
  </si>
  <si>
    <t>Střední</t>
  </si>
  <si>
    <t>Těžká</t>
  </si>
  <si>
    <t>Velmi těžká</t>
  </si>
  <si>
    <t>Bojeschopnost</t>
  </si>
  <si>
    <t>Hledání</t>
  </si>
  <si>
    <t>Stupeň a bonus/postih vlastností</t>
  </si>
  <si>
    <t>Hod8</t>
  </si>
  <si>
    <t>Hod9</t>
  </si>
  <si>
    <t>Vyber rozšířené povolání</t>
  </si>
  <si>
    <t>Rasa + povolání</t>
  </si>
  <si>
    <t>ZADEJ POTŘEBNÉ ÚDAJE</t>
  </si>
  <si>
    <t>ŽIVOTY</t>
  </si>
  <si>
    <t>MAGY</t>
  </si>
  <si>
    <t>8. úroveň</t>
  </si>
  <si>
    <t>úroveň do 8.</t>
  </si>
  <si>
    <t>úroveň nad 8.</t>
  </si>
  <si>
    <t>TABULKA POSTAV - MISTROVSTVÍ DRD 2022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</si>
  <si>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Každý alchymista má na začátku dobrodružství k dispozici surovin za 500 zl. Množství je stejné pro všechny rasy i rozšířená povolání.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</si>
</sst>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7"/>
      <name val="Arial CE"/>
      <family val="2"/>
      <charset val="238"/>
    </font>
    <font>
      <b/>
      <sz val="28"/>
      <name val="Arial CE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22"/>
      <name val="Arial CE"/>
      <charset val="238"/>
    </font>
    <font>
      <sz val="11"/>
      <color theme="1"/>
      <name val="Calibri"/>
      <family val="2"/>
      <charset val="238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6" tint="0.5999938962981048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0">
    <xf numFmtId="0" fontId="0" fillId="0" borderId="0" xfId="0"/>
    <xf numFmtId="49" fontId="1" fillId="0" borderId="0" xfId="1" applyNumberFormat="1" applyBorder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1" fillId="0" borderId="0" xfId="1" applyBorder="1"/>
    <xf numFmtId="49" fontId="1" fillId="0" borderId="0" xfId="1" applyNumberFormat="1" applyBorder="1" applyAlignment="1">
      <alignment vertical="top"/>
    </xf>
    <xf numFmtId="49" fontId="1" fillId="0" borderId="0" xfId="1" applyNumberFormat="1" applyBorder="1" applyAlignment="1">
      <alignment horizontal="center" vertical="center"/>
    </xf>
    <xf numFmtId="0" fontId="1" fillId="0" borderId="0" xfId="1" applyBorder="1" applyAlignment="1">
      <alignment vertical="center"/>
    </xf>
    <xf numFmtId="49" fontId="1" fillId="0" borderId="0" xfId="1" applyNumberFormat="1" applyBorder="1" applyAlignment="1"/>
    <xf numFmtId="49" fontId="1" fillId="0" borderId="0" xfId="1" applyNumberFormat="1"/>
    <xf numFmtId="0" fontId="7" fillId="0" borderId="0" xfId="1" applyFont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1" applyAlignment="1">
      <alignment horizontal="center" vertical="center"/>
    </xf>
    <xf numFmtId="0" fontId="0" fillId="0" borderId="0" xfId="0" quotePrefix="1" applyAlignment="1">
      <alignment horizontal="right"/>
    </xf>
    <xf numFmtId="0" fontId="1" fillId="0" borderId="0" xfId="1" applyNumberFormat="1" applyBorder="1" applyAlignment="1">
      <alignment horizontal="center" vertical="center"/>
    </xf>
    <xf numFmtId="49" fontId="7" fillId="0" borderId="0" xfId="1" applyNumberFormat="1" applyFont="1" applyBorder="1" applyAlignment="1">
      <alignment vertical="center"/>
    </xf>
    <xf numFmtId="0" fontId="13" fillId="0" borderId="0" xfId="0" applyFont="1"/>
    <xf numFmtId="0" fontId="13" fillId="0" borderId="0" xfId="0" quotePrefix="1" applyFont="1"/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 applyFill="1" applyAlignment="1">
      <alignment horizontal="center"/>
    </xf>
    <xf numFmtId="0" fontId="16" fillId="0" borderId="0" xfId="1" applyFont="1" applyBorder="1"/>
    <xf numFmtId="0" fontId="17" fillId="0" borderId="0" xfId="1" applyFont="1" applyBorder="1"/>
    <xf numFmtId="0" fontId="15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6" fillId="3" borderId="0" xfId="1" applyFont="1" applyFill="1" applyBorder="1" applyAlignment="1">
      <alignment horizontal="center"/>
    </xf>
    <xf numFmtId="0" fontId="15" fillId="0" borderId="14" xfId="1" applyFont="1" applyBorder="1" applyAlignment="1">
      <alignment horizontal="center"/>
    </xf>
    <xf numFmtId="0" fontId="15" fillId="0" borderId="15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2" borderId="19" xfId="1" applyFont="1" applyFill="1" applyBorder="1" applyAlignment="1">
      <alignment horizontal="center"/>
    </xf>
    <xf numFmtId="0" fontId="16" fillId="0" borderId="20" xfId="1" applyFont="1" applyBorder="1" applyAlignment="1">
      <alignment horizontal="center"/>
    </xf>
    <xf numFmtId="0" fontId="16" fillId="3" borderId="0" xfId="1" applyFont="1" applyFill="1" applyBorder="1"/>
    <xf numFmtId="0" fontId="16" fillId="2" borderId="0" xfId="1" applyFont="1" applyFill="1" applyBorder="1"/>
    <xf numFmtId="0" fontId="14" fillId="0" borderId="0" xfId="0" applyFont="1" applyAlignment="1">
      <alignment horizontal="center"/>
    </xf>
    <xf numFmtId="0" fontId="16" fillId="0" borderId="0" xfId="1" applyFont="1" applyFill="1" applyBorder="1"/>
    <xf numFmtId="0" fontId="15" fillId="0" borderId="0" xfId="1" applyFont="1" applyFill="1" applyBorder="1" applyAlignment="1">
      <alignment horizontal="center"/>
    </xf>
    <xf numFmtId="0" fontId="1" fillId="0" borderId="0" xfId="1" applyBorder="1" applyAlignment="1">
      <alignment horizontal="left" vertical="center" indent="1"/>
    </xf>
    <xf numFmtId="0" fontId="1" fillId="0" borderId="0" xfId="1" applyBorder="1" applyAlignment="1">
      <alignment horizontal="left" indent="1"/>
    </xf>
    <xf numFmtId="0" fontId="1" fillId="0" borderId="0" xfId="1" applyNumberFormat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Fill="1" applyBorder="1"/>
    <xf numFmtId="0" fontId="13" fillId="0" borderId="26" xfId="0" applyFont="1" applyBorder="1"/>
    <xf numFmtId="0" fontId="14" fillId="0" borderId="0" xfId="0" applyFont="1" applyBorder="1"/>
    <xf numFmtId="0" fontId="13" fillId="0" borderId="0" xfId="0" applyFont="1" applyBorder="1"/>
    <xf numFmtId="0" fontId="13" fillId="0" borderId="27" xfId="0" applyFont="1" applyFill="1" applyBorder="1"/>
    <xf numFmtId="0" fontId="16" fillId="0" borderId="27" xfId="1" applyFont="1" applyFill="1" applyBorder="1"/>
    <xf numFmtId="0" fontId="17" fillId="0" borderId="27" xfId="1" applyFont="1" applyFill="1" applyBorder="1"/>
    <xf numFmtId="0" fontId="13" fillId="0" borderId="28" xfId="0" applyFont="1" applyBorder="1"/>
    <xf numFmtId="0" fontId="16" fillId="0" borderId="29" xfId="1" applyFont="1" applyBorder="1"/>
    <xf numFmtId="0" fontId="16" fillId="0" borderId="30" xfId="1" applyFont="1" applyFill="1" applyBorder="1"/>
    <xf numFmtId="0" fontId="16" fillId="0" borderId="24" xfId="1" applyFont="1" applyBorder="1"/>
    <xf numFmtId="0" fontId="16" fillId="0" borderId="25" xfId="1" applyFont="1" applyFill="1" applyBorder="1"/>
    <xf numFmtId="0" fontId="13" fillId="0" borderId="29" xfId="0" applyFont="1" applyBorder="1"/>
    <xf numFmtId="0" fontId="13" fillId="0" borderId="30" xfId="0" applyFont="1" applyFill="1" applyBorder="1"/>
    <xf numFmtId="0" fontId="17" fillId="0" borderId="29" xfId="1" applyFont="1" applyBorder="1"/>
    <xf numFmtId="0" fontId="17" fillId="0" borderId="24" xfId="1" applyFont="1" applyBorder="1"/>
    <xf numFmtId="0" fontId="14" fillId="0" borderId="0" xfId="0" applyFont="1" applyBorder="1" applyAlignment="1">
      <alignment horizontal="center"/>
    </xf>
    <xf numFmtId="0" fontId="13" fillId="0" borderId="26" xfId="0" applyFont="1" applyFill="1" applyBorder="1"/>
    <xf numFmtId="0" fontId="16" fillId="0" borderId="24" xfId="1" applyFont="1" applyBorder="1" applyAlignment="1">
      <alignment horizontal="left" indent="2"/>
    </xf>
    <xf numFmtId="0" fontId="18" fillId="0" borderId="24" xfId="1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2"/>
    </xf>
    <xf numFmtId="0" fontId="19" fillId="2" borderId="0" xfId="1" applyFont="1" applyFill="1" applyBorder="1"/>
    <xf numFmtId="0" fontId="16" fillId="0" borderId="0" xfId="1" applyFont="1" applyBorder="1" applyAlignment="1">
      <alignment horizontal="left" indent="3"/>
    </xf>
    <xf numFmtId="0" fontId="15" fillId="0" borderId="0" xfId="1" applyFont="1" applyBorder="1"/>
    <xf numFmtId="0" fontId="16" fillId="0" borderId="0" xfId="1" applyFont="1" applyBorder="1" applyAlignment="1">
      <alignment horizontal="left" indent="2"/>
    </xf>
    <xf numFmtId="2" fontId="19" fillId="2" borderId="0" xfId="1" applyNumberFormat="1" applyFont="1" applyFill="1" applyBorder="1"/>
    <xf numFmtId="0" fontId="18" fillId="0" borderId="0" xfId="1" applyFont="1" applyBorder="1"/>
    <xf numFmtId="0" fontId="15" fillId="0" borderId="27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29" xfId="1" applyFont="1" applyBorder="1" applyAlignment="1">
      <alignment horizontal="left" indent="2"/>
    </xf>
    <xf numFmtId="0" fontId="18" fillId="0" borderId="29" xfId="1" applyFont="1" applyBorder="1"/>
    <xf numFmtId="0" fontId="16" fillId="0" borderId="29" xfId="1" applyFont="1" applyFill="1" applyBorder="1" applyAlignment="1">
      <alignment horizontal="center"/>
    </xf>
    <xf numFmtId="0" fontId="16" fillId="0" borderId="24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7" fillId="0" borderId="0" xfId="0" applyFont="1" applyBorder="1"/>
    <xf numFmtId="0" fontId="13" fillId="0" borderId="0" xfId="0" applyFont="1" applyAlignment="1">
      <alignment horizontal="center" vertical="center"/>
    </xf>
    <xf numFmtId="0" fontId="13" fillId="0" borderId="0" xfId="0" quotePrefix="1" applyFont="1" applyFill="1"/>
    <xf numFmtId="0" fontId="17" fillId="0" borderId="0" xfId="0" applyFont="1" applyFill="1" applyAlignment="1">
      <alignment horizontal="center"/>
    </xf>
    <xf numFmtId="0" fontId="13" fillId="0" borderId="0" xfId="0" applyFont="1" applyAlignment="1">
      <alignment horizontal="left" indent="1"/>
    </xf>
    <xf numFmtId="0" fontId="13" fillId="0" borderId="0" xfId="0" applyFont="1" applyAlignment="1">
      <alignment horizontal="left" vertical="center" indent="1"/>
    </xf>
    <xf numFmtId="0" fontId="16" fillId="0" borderId="0" xfId="1" applyFont="1" applyAlignment="1">
      <alignment horizontal="left" indent="1"/>
    </xf>
    <xf numFmtId="0" fontId="17" fillId="4" borderId="0" xfId="1" applyFont="1" applyFill="1" applyAlignment="1">
      <alignment horizontal="left" indent="1"/>
    </xf>
    <xf numFmtId="0" fontId="17" fillId="0" borderId="0" xfId="1" applyFont="1" applyFill="1" applyAlignment="1">
      <alignment horizontal="left" indent="1"/>
    </xf>
    <xf numFmtId="0" fontId="13" fillId="0" borderId="0" xfId="0" applyFont="1" applyFill="1" applyAlignment="1">
      <alignment horizontal="left" indent="1"/>
    </xf>
    <xf numFmtId="0" fontId="13" fillId="0" borderId="13" xfId="0" applyFont="1" applyBorder="1"/>
    <xf numFmtId="0" fontId="16" fillId="0" borderId="19" xfId="1" applyFont="1" applyBorder="1" applyAlignment="1">
      <alignment horizontal="center"/>
    </xf>
    <xf numFmtId="0" fontId="13" fillId="0" borderId="16" xfId="0" applyFont="1" applyBorder="1" applyAlignment="1">
      <alignment horizontal="left" indent="2"/>
    </xf>
    <xf numFmtId="0" fontId="13" fillId="0" borderId="18" xfId="0" applyFont="1" applyBorder="1" applyAlignment="1">
      <alignment horizontal="left" indent="2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2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0" fillId="0" borderId="36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5" borderId="38" xfId="0" applyFont="1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5" borderId="37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/>
    </xf>
    <xf numFmtId="0" fontId="0" fillId="0" borderId="0" xfId="0" quotePrefix="1" applyAlignment="1">
      <alignment vertical="top"/>
    </xf>
    <xf numFmtId="0" fontId="20" fillId="0" borderId="0" xfId="0" applyFont="1" applyBorder="1" applyAlignment="1">
      <alignment horizontal="center" vertical="center"/>
    </xf>
    <xf numFmtId="0" fontId="8" fillId="0" borderId="0" xfId="1" applyNumberFormat="1" applyFont="1" applyBorder="1" applyAlignment="1">
      <alignment vertical="center"/>
    </xf>
    <xf numFmtId="0" fontId="1" fillId="0" borderId="0" xfId="1" applyNumberFormat="1" applyBorder="1" applyAlignment="1">
      <alignment vertical="top" wrapText="1"/>
    </xf>
    <xf numFmtId="0" fontId="5" fillId="0" borderId="0" xfId="1" applyNumberFormat="1" applyFont="1" applyBorder="1" applyAlignment="1">
      <alignment horizontal="left" vertical="center" indent="1"/>
    </xf>
    <xf numFmtId="0" fontId="0" fillId="0" borderId="43" xfId="0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0" fontId="5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2" fontId="3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49" fontId="1" fillId="0" borderId="0" xfId="1" applyNumberFormat="1" applyBorder="1"/>
    <xf numFmtId="49" fontId="2" fillId="0" borderId="0" xfId="1" applyNumberFormat="1" applyFont="1" applyBorder="1" applyAlignment="1">
      <alignment vertical="center"/>
    </xf>
    <xf numFmtId="49" fontId="5" fillId="0" borderId="0" xfId="1" applyNumberFormat="1" applyFont="1" applyFill="1" applyBorder="1" applyAlignment="1">
      <alignment vertical="center" wrapText="1"/>
    </xf>
    <xf numFmtId="49" fontId="5" fillId="0" borderId="0" xfId="1" applyNumberFormat="1" applyFont="1" applyBorder="1" applyAlignment="1">
      <alignment vertical="center"/>
    </xf>
    <xf numFmtId="2" fontId="5" fillId="0" borderId="0" xfId="1" applyNumberFormat="1" applyFont="1" applyFill="1" applyBorder="1" applyAlignment="1">
      <alignment vertical="center"/>
    </xf>
    <xf numFmtId="0" fontId="5" fillId="0" borderId="0" xfId="1" applyFont="1" applyBorder="1"/>
    <xf numFmtId="0" fontId="5" fillId="0" borderId="0" xfId="1" applyFont="1"/>
    <xf numFmtId="0" fontId="7" fillId="0" borderId="0" xfId="1" applyNumberFormat="1" applyFont="1" applyBorder="1" applyAlignment="1">
      <alignment vertical="center"/>
    </xf>
    <xf numFmtId="0" fontId="1" fillId="0" borderId="0" xfId="1" applyAlignment="1"/>
    <xf numFmtId="0" fontId="5" fillId="0" borderId="0" xfId="1" quotePrefix="1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0" fillId="0" borderId="48" xfId="0" applyBorder="1" applyAlignment="1">
      <alignment horizontal="left" vertical="center" indent="1"/>
    </xf>
    <xf numFmtId="0" fontId="20" fillId="0" borderId="3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/>
    </xf>
    <xf numFmtId="0" fontId="0" fillId="0" borderId="51" xfId="0" applyBorder="1" applyAlignment="1">
      <alignment horizontal="left" vertical="center" indent="1"/>
    </xf>
    <xf numFmtId="0" fontId="0" fillId="0" borderId="52" xfId="0" applyBorder="1" applyAlignment="1">
      <alignment horizontal="left" vertical="center" indent="1"/>
    </xf>
    <xf numFmtId="0" fontId="0" fillId="0" borderId="53" xfId="0" applyBorder="1" applyAlignment="1">
      <alignment horizontal="left" vertical="center" indent="1"/>
    </xf>
    <xf numFmtId="0" fontId="20" fillId="0" borderId="5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0" fillId="5" borderId="38" xfId="0" applyFont="1" applyFill="1" applyBorder="1" applyAlignment="1">
      <alignment horizontal="center"/>
    </xf>
    <xf numFmtId="0" fontId="1" fillId="0" borderId="0" xfId="1" applyFont="1"/>
    <xf numFmtId="0" fontId="1" fillId="0" borderId="0" xfId="1" applyNumberFormat="1" applyFont="1" applyBorder="1" applyAlignment="1">
      <alignment vertical="top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/>
    <xf numFmtId="0" fontId="1" fillId="0" borderId="0" xfId="1" applyNumberFormat="1" applyFont="1" applyBorder="1" applyAlignment="1">
      <alignment vertical="center"/>
    </xf>
    <xf numFmtId="0" fontId="1" fillId="0" borderId="13" xfId="1" applyBorder="1"/>
    <xf numFmtId="0" fontId="1" fillId="0" borderId="15" xfId="1" applyFont="1" applyBorder="1"/>
    <xf numFmtId="0" fontId="1" fillId="0" borderId="16" xfId="1" applyBorder="1"/>
    <xf numFmtId="0" fontId="7" fillId="0" borderId="0" xfId="1" applyFont="1" applyBorder="1"/>
    <xf numFmtId="0" fontId="1" fillId="0" borderId="17" xfId="1" applyBorder="1"/>
    <xf numFmtId="0" fontId="8" fillId="0" borderId="17" xfId="1" applyNumberFormat="1" applyFont="1" applyBorder="1" applyAlignment="1">
      <alignment vertical="center"/>
    </xf>
    <xf numFmtId="0" fontId="5" fillId="0" borderId="17" xfId="1" applyNumberFormat="1" applyFont="1" applyBorder="1" applyAlignment="1">
      <alignment vertical="center"/>
    </xf>
    <xf numFmtId="0" fontId="1" fillId="0" borderId="17" xfId="1" applyNumberFormat="1" applyBorder="1" applyAlignment="1">
      <alignment vertical="top" wrapText="1"/>
    </xf>
    <xf numFmtId="0" fontId="1" fillId="0" borderId="18" xfId="1" applyBorder="1"/>
    <xf numFmtId="0" fontId="1" fillId="0" borderId="19" xfId="1" applyBorder="1"/>
    <xf numFmtId="0" fontId="1" fillId="0" borderId="20" xfId="1" applyFont="1" applyBorder="1"/>
    <xf numFmtId="0" fontId="1" fillId="0" borderId="17" xfId="1" applyFont="1" applyBorder="1"/>
    <xf numFmtId="0" fontId="20" fillId="0" borderId="37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7" xfId="0" applyNumberForma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20" fillId="5" borderId="39" xfId="0" applyFont="1" applyFill="1" applyBorder="1" applyAlignment="1">
      <alignment horizont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0" xfId="1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textRotation="90" wrapText="1"/>
    </xf>
    <xf numFmtId="0" fontId="20" fillId="0" borderId="26" xfId="0" applyFont="1" applyBorder="1" applyAlignment="1">
      <alignment horizontal="center" vertical="center" textRotation="90" wrapText="1"/>
    </xf>
    <xf numFmtId="0" fontId="20" fillId="0" borderId="28" xfId="0" applyFont="1" applyBorder="1" applyAlignment="1">
      <alignment horizontal="center" vertical="center" textRotation="90" wrapText="1"/>
    </xf>
    <xf numFmtId="0" fontId="20" fillId="0" borderId="40" xfId="0" applyFont="1" applyBorder="1" applyAlignment="1">
      <alignment horizontal="center" vertical="center" textRotation="90" wrapText="1"/>
    </xf>
    <xf numFmtId="0" fontId="20" fillId="0" borderId="41" xfId="0" applyFont="1" applyBorder="1" applyAlignment="1">
      <alignment horizontal="center" vertical="center" textRotation="90" wrapText="1"/>
    </xf>
    <xf numFmtId="0" fontId="20" fillId="0" borderId="42" xfId="0" applyFont="1" applyBorder="1" applyAlignment="1">
      <alignment horizontal="center" vertical="center" textRotation="90" wrapText="1"/>
    </xf>
    <xf numFmtId="1" fontId="5" fillId="0" borderId="12" xfId="1" applyNumberFormat="1" applyFont="1" applyBorder="1" applyAlignment="1">
      <alignment horizontal="center" vertical="center"/>
    </xf>
    <xf numFmtId="1" fontId="22" fillId="0" borderId="12" xfId="1" applyNumberFormat="1" applyFont="1" applyBorder="1" applyAlignment="1">
      <alignment horizontal="center" vertical="center"/>
    </xf>
    <xf numFmtId="49" fontId="1" fillId="0" borderId="9" xfId="1" applyNumberFormat="1" applyBorder="1" applyAlignment="1">
      <alignment horizontal="left" vertical="center" indent="1"/>
    </xf>
    <xf numFmtId="49" fontId="1" fillId="0" borderId="10" xfId="1" applyNumberFormat="1" applyBorder="1" applyAlignment="1">
      <alignment horizontal="left" vertical="center" indent="1"/>
    </xf>
    <xf numFmtId="49" fontId="1" fillId="0" borderId="11" xfId="1" applyNumberFormat="1" applyBorder="1" applyAlignment="1">
      <alignment horizontal="left" vertical="center" indent="1"/>
    </xf>
    <xf numFmtId="49" fontId="5" fillId="0" borderId="12" xfId="1" applyNumberFormat="1" applyFont="1" applyBorder="1" applyAlignment="1">
      <alignment horizontal="left" vertical="center" indent="1"/>
    </xf>
    <xf numFmtId="0" fontId="1" fillId="0" borderId="12" xfId="1" applyBorder="1" applyAlignment="1">
      <alignment horizontal="center"/>
    </xf>
    <xf numFmtId="49" fontId="5" fillId="0" borderId="21" xfId="1" applyNumberFormat="1" applyFont="1" applyBorder="1" applyAlignment="1">
      <alignment horizontal="left" vertical="center" indent="1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1" fontId="5" fillId="0" borderId="2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center" indent="1"/>
    </xf>
    <xf numFmtId="49" fontId="5" fillId="0" borderId="2" xfId="1" applyNumberFormat="1" applyFont="1" applyBorder="1" applyAlignment="1">
      <alignment horizontal="left" vertical="center" indent="1"/>
    </xf>
    <xf numFmtId="49" fontId="5" fillId="0" borderId="3" xfId="1" applyNumberFormat="1" applyFont="1" applyBorder="1" applyAlignment="1">
      <alignment horizontal="left" vertical="center" indent="1"/>
    </xf>
    <xf numFmtId="49" fontId="5" fillId="0" borderId="6" xfId="1" applyNumberFormat="1" applyFont="1" applyBorder="1" applyAlignment="1">
      <alignment horizontal="left" vertical="center" indent="1"/>
    </xf>
    <xf numFmtId="49" fontId="5" fillId="0" borderId="7" xfId="1" applyNumberFormat="1" applyFont="1" applyBorder="1" applyAlignment="1">
      <alignment horizontal="left" vertical="center" indent="1"/>
    </xf>
    <xf numFmtId="49" fontId="5" fillId="0" borderId="8" xfId="1" applyNumberFormat="1" applyFont="1" applyBorder="1" applyAlignment="1">
      <alignment horizontal="left" vertical="center" indent="1"/>
    </xf>
    <xf numFmtId="0" fontId="1" fillId="0" borderId="1" xfId="1" applyNumberFormat="1" applyBorder="1" applyAlignment="1">
      <alignment horizontal="center" vertical="center"/>
    </xf>
    <xf numFmtId="0" fontId="1" fillId="0" borderId="2" xfId="1" applyNumberFormat="1" applyBorder="1" applyAlignment="1">
      <alignment horizontal="center" vertical="center"/>
    </xf>
    <xf numFmtId="0" fontId="1" fillId="0" borderId="3" xfId="1" applyNumberFormat="1" applyBorder="1" applyAlignment="1">
      <alignment horizontal="center" vertical="center"/>
    </xf>
    <xf numFmtId="0" fontId="1" fillId="0" borderId="4" xfId="1" applyNumberFormat="1" applyBorder="1" applyAlignment="1">
      <alignment horizontal="center" vertical="center"/>
    </xf>
    <xf numFmtId="0" fontId="1" fillId="0" borderId="0" xfId="1" applyNumberFormat="1" applyBorder="1" applyAlignment="1">
      <alignment horizontal="center" vertical="center"/>
    </xf>
    <xf numFmtId="0" fontId="1" fillId="0" borderId="5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left" vertical="center" indent="1"/>
    </xf>
    <xf numFmtId="49" fontId="1" fillId="0" borderId="1" xfId="1" applyNumberFormat="1" applyBorder="1" applyAlignment="1">
      <alignment horizontal="left" indent="1"/>
    </xf>
    <xf numFmtId="49" fontId="1" fillId="0" borderId="2" xfId="1" applyNumberFormat="1" applyBorder="1" applyAlignment="1">
      <alignment horizontal="left" indent="1"/>
    </xf>
    <xf numFmtId="49" fontId="1" fillId="0" borderId="3" xfId="1" applyNumberFormat="1" applyBorder="1" applyAlignment="1">
      <alignment horizontal="left" indent="1"/>
    </xf>
    <xf numFmtId="49" fontId="1" fillId="0" borderId="4" xfId="1" applyNumberFormat="1" applyBorder="1" applyAlignment="1">
      <alignment horizontal="left" indent="1"/>
    </xf>
    <xf numFmtId="49" fontId="1" fillId="0" borderId="0" xfId="1" applyNumberFormat="1" applyBorder="1" applyAlignment="1">
      <alignment horizontal="left" indent="1"/>
    </xf>
    <xf numFmtId="49" fontId="1" fillId="0" borderId="5" xfId="1" applyNumberFormat="1" applyBorder="1" applyAlignment="1">
      <alignment horizontal="left" indent="1"/>
    </xf>
    <xf numFmtId="49" fontId="1" fillId="0" borderId="6" xfId="1" applyNumberFormat="1" applyBorder="1" applyAlignment="1">
      <alignment horizontal="left" indent="1"/>
    </xf>
    <xf numFmtId="49" fontId="1" fillId="0" borderId="7" xfId="1" applyNumberFormat="1" applyBorder="1" applyAlignment="1">
      <alignment horizontal="left" indent="1"/>
    </xf>
    <xf numFmtId="49" fontId="1" fillId="0" borderId="8" xfId="1" applyNumberFormat="1" applyBorder="1" applyAlignment="1">
      <alignment horizontal="left" indent="1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center"/>
    </xf>
    <xf numFmtId="1" fontId="5" fillId="0" borderId="11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indent="1"/>
    </xf>
    <xf numFmtId="49" fontId="4" fillId="0" borderId="10" xfId="1" applyNumberFormat="1" applyFont="1" applyBorder="1" applyAlignment="1">
      <alignment horizontal="left" vertical="center" inden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 indent="1"/>
    </xf>
    <xf numFmtId="0" fontId="5" fillId="0" borderId="6" xfId="1" applyFont="1" applyBorder="1" applyAlignment="1">
      <alignment horizontal="left" vertical="center" indent="1"/>
    </xf>
    <xf numFmtId="0" fontId="5" fillId="0" borderId="7" xfId="1" applyFont="1" applyBorder="1" applyAlignment="1">
      <alignment horizontal="left" vertical="center" inden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 indent="1"/>
    </xf>
    <xf numFmtId="49" fontId="5" fillId="0" borderId="2" xfId="1" applyNumberFormat="1" applyFont="1" applyFill="1" applyBorder="1" applyAlignment="1">
      <alignment horizontal="left" vertical="center" wrapText="1" indent="1"/>
    </xf>
    <xf numFmtId="49" fontId="5" fillId="0" borderId="6" xfId="1" applyNumberFormat="1" applyFont="1" applyFill="1" applyBorder="1" applyAlignment="1">
      <alignment horizontal="left" vertical="center" wrapText="1" indent="1"/>
    </xf>
    <xf numFmtId="49" fontId="5" fillId="0" borderId="7" xfId="1" applyNumberFormat="1" applyFont="1" applyFill="1" applyBorder="1" applyAlignment="1">
      <alignment horizontal="left" vertical="center" wrapText="1" indent="1"/>
    </xf>
    <xf numFmtId="0" fontId="5" fillId="0" borderId="1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left" vertical="top" wrapText="1"/>
    </xf>
    <xf numFmtId="49" fontId="1" fillId="0" borderId="2" xfId="1" applyNumberFormat="1" applyFont="1" applyFill="1" applyBorder="1" applyAlignment="1">
      <alignment horizontal="left" vertical="top" wrapText="1"/>
    </xf>
    <xf numFmtId="49" fontId="1" fillId="0" borderId="3" xfId="1" applyNumberFormat="1" applyFont="1" applyFill="1" applyBorder="1" applyAlignment="1">
      <alignment horizontal="left" vertical="top" wrapText="1"/>
    </xf>
    <xf numFmtId="49" fontId="1" fillId="0" borderId="6" xfId="1" applyNumberFormat="1" applyFont="1" applyFill="1" applyBorder="1" applyAlignment="1">
      <alignment horizontal="left" vertical="top" wrapText="1"/>
    </xf>
    <xf numFmtId="49" fontId="1" fillId="0" borderId="7" xfId="1" applyNumberFormat="1" applyFont="1" applyFill="1" applyBorder="1" applyAlignment="1">
      <alignment horizontal="left" vertical="top" wrapText="1"/>
    </xf>
    <xf numFmtId="49" fontId="1" fillId="0" borderId="8" xfId="1" applyNumberFormat="1" applyFont="1" applyFill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2" xfId="1" quotePrefix="1" applyFont="1" applyBorder="1" applyAlignment="1">
      <alignment horizontal="left" vertical="center" indent="1"/>
    </xf>
    <xf numFmtId="0" fontId="1" fillId="0" borderId="1" xfId="1" applyBorder="1" applyAlignment="1">
      <alignment horizontal="center" vertical="top"/>
    </xf>
    <xf numFmtId="0" fontId="1" fillId="0" borderId="2" xfId="1" applyBorder="1" applyAlignment="1">
      <alignment horizontal="center" vertical="top"/>
    </xf>
    <xf numFmtId="0" fontId="1" fillId="0" borderId="3" xfId="1" applyBorder="1" applyAlignment="1">
      <alignment horizontal="center" vertical="top"/>
    </xf>
    <xf numFmtId="0" fontId="1" fillId="0" borderId="6" xfId="1" applyBorder="1" applyAlignment="1">
      <alignment horizontal="center" vertical="top"/>
    </xf>
    <xf numFmtId="0" fontId="1" fillId="0" borderId="7" xfId="1" applyBorder="1" applyAlignment="1">
      <alignment horizontal="center" vertical="top"/>
    </xf>
    <xf numFmtId="0" fontId="1" fillId="0" borderId="8" xfId="1" applyBorder="1" applyAlignment="1">
      <alignment horizontal="center" vertical="top"/>
    </xf>
    <xf numFmtId="1" fontId="5" fillId="0" borderId="12" xfId="1" applyNumberFormat="1" applyFont="1" applyBorder="1" applyAlignment="1">
      <alignment horizontal="center" vertical="center" shrinkToFit="1"/>
    </xf>
    <xf numFmtId="49" fontId="1" fillId="0" borderId="0" xfId="1" applyNumberForma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left" vertical="center" wrapText="1" indent="1"/>
    </xf>
    <xf numFmtId="0" fontId="7" fillId="0" borderId="2" xfId="1" applyNumberFormat="1" applyFont="1" applyFill="1" applyBorder="1" applyAlignment="1">
      <alignment horizontal="left" vertical="center" wrapText="1" indent="1"/>
    </xf>
    <xf numFmtId="0" fontId="7" fillId="0" borderId="3" xfId="1" applyNumberFormat="1" applyFont="1" applyFill="1" applyBorder="1" applyAlignment="1">
      <alignment horizontal="left" vertical="center" wrapText="1" indent="1"/>
    </xf>
    <xf numFmtId="0" fontId="7" fillId="0" borderId="6" xfId="1" applyNumberFormat="1" applyFont="1" applyFill="1" applyBorder="1" applyAlignment="1">
      <alignment horizontal="left" vertical="center" wrapText="1" indent="1"/>
    </xf>
    <xf numFmtId="0" fontId="7" fillId="0" borderId="7" xfId="1" applyNumberFormat="1" applyFont="1" applyFill="1" applyBorder="1" applyAlignment="1">
      <alignment horizontal="left" vertical="center" wrapText="1" indent="1"/>
    </xf>
    <xf numFmtId="0" fontId="7" fillId="0" borderId="8" xfId="1" applyNumberFormat="1" applyFont="1" applyFill="1" applyBorder="1" applyAlignment="1">
      <alignment horizontal="left" vertical="center" wrapText="1" indent="1"/>
    </xf>
    <xf numFmtId="0" fontId="7" fillId="0" borderId="1" xfId="1" applyNumberFormat="1" applyFont="1" applyFill="1" applyBorder="1" applyAlignment="1">
      <alignment horizontal="left" vertical="center" indent="1"/>
    </xf>
    <xf numFmtId="0" fontId="7" fillId="0" borderId="2" xfId="1" applyNumberFormat="1" applyFont="1" applyFill="1" applyBorder="1" applyAlignment="1">
      <alignment horizontal="left" vertical="center" indent="1"/>
    </xf>
    <xf numFmtId="0" fontId="7" fillId="0" borderId="3" xfId="1" applyNumberFormat="1" applyFont="1" applyFill="1" applyBorder="1" applyAlignment="1">
      <alignment horizontal="left" vertical="center" indent="1"/>
    </xf>
    <xf numFmtId="0" fontId="7" fillId="0" borderId="6" xfId="1" applyNumberFormat="1" applyFont="1" applyFill="1" applyBorder="1" applyAlignment="1">
      <alignment horizontal="left" vertical="center" indent="1"/>
    </xf>
    <xf numFmtId="0" fontId="7" fillId="0" borderId="7" xfId="1" applyNumberFormat="1" applyFont="1" applyFill="1" applyBorder="1" applyAlignment="1">
      <alignment horizontal="left" vertical="center" indent="1"/>
    </xf>
    <xf numFmtId="0" fontId="7" fillId="0" borderId="8" xfId="1" applyNumberFormat="1" applyFont="1" applyFill="1" applyBorder="1" applyAlignment="1">
      <alignment horizontal="left" vertical="center" indent="1"/>
    </xf>
    <xf numFmtId="1" fontId="5" fillId="0" borderId="7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center" vertical="center" wrapText="1"/>
    </xf>
    <xf numFmtId="0" fontId="5" fillId="0" borderId="8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22" fillId="0" borderId="1" xfId="1" applyNumberFormat="1" applyFont="1" applyBorder="1" applyAlignment="1">
      <alignment horizontal="center" vertical="center"/>
    </xf>
    <xf numFmtId="0" fontId="22" fillId="0" borderId="3" xfId="1" applyNumberFormat="1" applyFont="1" applyBorder="1" applyAlignment="1">
      <alignment horizontal="center" vertical="center"/>
    </xf>
    <xf numFmtId="0" fontId="22" fillId="0" borderId="6" xfId="1" applyNumberFormat="1" applyFont="1" applyBorder="1" applyAlignment="1">
      <alignment horizontal="center" vertical="center"/>
    </xf>
    <xf numFmtId="0" fontId="22" fillId="0" borderId="8" xfId="1" applyNumberFormat="1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left" vertical="center" wrapText="1" indent="1"/>
    </xf>
    <xf numFmtId="0" fontId="1" fillId="0" borderId="2" xfId="1" applyNumberFormat="1" applyFont="1" applyFill="1" applyBorder="1" applyAlignment="1">
      <alignment horizontal="left" vertical="center" wrapText="1" indent="1"/>
    </xf>
    <xf numFmtId="0" fontId="1" fillId="0" borderId="3" xfId="1" applyNumberFormat="1" applyFont="1" applyFill="1" applyBorder="1" applyAlignment="1">
      <alignment horizontal="left" vertical="center" wrapText="1" indent="1"/>
    </xf>
    <xf numFmtId="0" fontId="1" fillId="0" borderId="6" xfId="1" applyNumberFormat="1" applyFont="1" applyFill="1" applyBorder="1" applyAlignment="1">
      <alignment horizontal="left" vertical="center" wrapText="1" indent="1"/>
    </xf>
    <xf numFmtId="0" fontId="1" fillId="0" borderId="7" xfId="1" applyNumberFormat="1" applyFont="1" applyFill="1" applyBorder="1" applyAlignment="1">
      <alignment horizontal="left" vertical="center" wrapText="1" indent="1"/>
    </xf>
    <xf numFmtId="0" fontId="1" fillId="0" borderId="8" xfId="1" applyNumberFormat="1" applyFont="1" applyFill="1" applyBorder="1" applyAlignment="1">
      <alignment horizontal="left" vertical="center" wrapText="1" indent="1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15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7" dropStyle="combo" dx="16" fmlaLink="_RasInd" fmlaRange="_RAS" noThreeD="1" sel="7" val="0"/>
</file>

<file path=xl/ctrlProps/ctrlProp10.xml><?xml version="1.0" encoding="utf-8"?>
<formControlPr xmlns="http://schemas.microsoft.com/office/spreadsheetml/2009/9/main" objectType="CheckBox" checked="Checked" fmlaLink="$D$93" lockText="1" noThreeD="1"/>
</file>

<file path=xl/ctrlProps/ctrlProp11.xml><?xml version="1.0" encoding="utf-8"?>
<formControlPr xmlns="http://schemas.microsoft.com/office/spreadsheetml/2009/9/main" objectType="Drop" dropStyle="combo" dx="16" fmlaLink="$E$104" fmlaRange="_ZbranTab" noThreeD="1" sel="5" val="0"/>
</file>

<file path=xl/ctrlProps/ctrlProp12.xml><?xml version="1.0" encoding="utf-8"?>
<formControlPr xmlns="http://schemas.microsoft.com/office/spreadsheetml/2009/9/main" objectType="CheckBox" fmlaLink="$D$107" lockText="1" noThreeD="1"/>
</file>

<file path=xl/ctrlProps/ctrlProp13.xml><?xml version="1.0" encoding="utf-8"?>
<formControlPr xmlns="http://schemas.microsoft.com/office/spreadsheetml/2009/9/main" objectType="Drop" dropStyle="combo" dx="16" fmlaLink="$E$118" fmlaRange="_ZbranTab" noThreeD="1" sel="16" val="12"/>
</file>

<file path=xl/ctrlProps/ctrlProp14.xml><?xml version="1.0" encoding="utf-8"?>
<formControlPr xmlns="http://schemas.microsoft.com/office/spreadsheetml/2009/9/main" objectType="CheckBox" checked="Checked" fmlaLink="$D$121" lockText="1" noThreeD="1"/>
</file>

<file path=xl/ctrlProps/ctrlProp15.xml><?xml version="1.0" encoding="utf-8"?>
<formControlPr xmlns="http://schemas.microsoft.com/office/spreadsheetml/2009/9/main" objectType="Drop" dropStyle="combo" dx="16" fmlaLink="$E$132" fmlaRange="_ZbranTab" noThreeD="1" sel="1" val="0"/>
</file>

<file path=xl/ctrlProps/ctrlProp16.xml><?xml version="1.0" encoding="utf-8"?>
<formControlPr xmlns="http://schemas.microsoft.com/office/spreadsheetml/2009/9/main" objectType="CheckBox" fmlaLink="$D$135" lockText="1" noThreeD="1"/>
</file>

<file path=xl/ctrlProps/ctrlProp17.xml><?xml version="1.0" encoding="utf-8"?>
<formControlPr xmlns="http://schemas.microsoft.com/office/spreadsheetml/2009/9/main" objectType="Drop" dropLines="7" dropStyle="combo" dx="16" fmlaLink="_RasInd" fmlaRange="_RAS" noThreeD="1" sel="7" val="0"/>
</file>

<file path=xl/ctrlProps/ctrlProp18.xml><?xml version="1.0" encoding="utf-8"?>
<formControlPr xmlns="http://schemas.microsoft.com/office/spreadsheetml/2009/9/main" objectType="Drop" dropLines="5" dropStyle="combo" dx="16" fmlaLink="_ZakPovInd" fmlaRange="_ZAKPOV" noThreeD="1" sel="3" val="0"/>
</file>

<file path=xl/ctrlProps/ctrlProp19.xml><?xml version="1.0" encoding="utf-8"?>
<formControlPr xmlns="http://schemas.microsoft.com/office/spreadsheetml/2009/9/main" objectType="Drop" dropLines="2" dropStyle="combo" dx="16" fmlaLink="_RozPovInd" fmlaRange="_RozPovSel" noThreeD="1" sel="1" val="0"/>
</file>

<file path=xl/ctrlProps/ctrlProp2.xml><?xml version="1.0" encoding="utf-8"?>
<formControlPr xmlns="http://schemas.microsoft.com/office/spreadsheetml/2009/9/main" objectType="Drop" dropLines="5" dropStyle="combo" dx="16" fmlaLink="_ZakPovInd" fmlaRange="_ZAKPOV" noThreeD="1" sel="3" val="0"/>
</file>

<file path=xl/ctrlProps/ctrlProp3.xml><?xml version="1.0" encoding="utf-8"?>
<formControlPr xmlns="http://schemas.microsoft.com/office/spreadsheetml/2009/9/main" objectType="Drop" dropLines="2" dropStyle="combo" dx="16" fmlaLink="_RozPovInd" fmlaRange="_RozPovSel" noThreeD="1" sel="1" val="0"/>
</file>

<file path=xl/ctrlProps/ctrlProp4.xml><?xml version="1.0" encoding="utf-8"?>
<formControlPr xmlns="http://schemas.microsoft.com/office/spreadsheetml/2009/9/main" objectType="Drop" dropLines="16" dropStyle="combo" dx="16" fmlaLink="_LVL" fmlaRange="_LvlTab" noThreeD="1" sel="3" val="0"/>
</file>

<file path=xl/ctrlProps/ctrlProp5.xml><?xml version="1.0" encoding="utf-8"?>
<formControlPr xmlns="http://schemas.microsoft.com/office/spreadsheetml/2009/9/main" objectType="Drop" dropStyle="combo" dx="16" fmlaLink="$E$75" fmlaRange="_ZbrojTab" noThreeD="1" sel="4" val="0"/>
</file>

<file path=xl/ctrlProps/ctrlProp6.xml><?xml version="1.0" encoding="utf-8"?>
<formControlPr xmlns="http://schemas.microsoft.com/office/spreadsheetml/2009/9/main" objectType="CheckBox" checked="Checked" fmlaLink="$D$77" lockText="1" noThreeD="1"/>
</file>

<file path=xl/ctrlProps/ctrlProp7.xml><?xml version="1.0" encoding="utf-8"?>
<formControlPr xmlns="http://schemas.microsoft.com/office/spreadsheetml/2009/9/main" objectType="CheckBox" checked="Checked" fmlaLink="$D$85" lockText="1" noThreeD="1"/>
</file>

<file path=xl/ctrlProps/ctrlProp8.xml><?xml version="1.0" encoding="utf-8"?>
<formControlPr xmlns="http://schemas.microsoft.com/office/spreadsheetml/2009/9/main" objectType="CheckBox" checked="Checked" fmlaLink="$D$86" lockText="1" noThreeD="1"/>
</file>

<file path=xl/ctrlProps/ctrlProp9.xml><?xml version="1.0" encoding="utf-8"?>
<formControlPr xmlns="http://schemas.microsoft.com/office/spreadsheetml/2009/9/main" objectType="Drop" dropStyle="combo" dx="16" fmlaLink="$E$90" fmlaRange="_ZbranTab" noThreeD="1" sel="15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0</xdr:rowOff>
        </xdr:from>
        <xdr:to>
          <xdr:col>4</xdr:col>
          <xdr:colOff>0</xdr:colOff>
          <xdr:row>75</xdr:row>
          <xdr:rowOff>0</xdr:rowOff>
        </xdr:to>
        <xdr:sp macro="" textlink="">
          <xdr:nvSpPr>
            <xdr:cNvPr id="4111" name="Drop Down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0</xdr:colOff>
          <xdr:row>77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ano/ne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0</xdr:rowOff>
        </xdr:from>
        <xdr:to>
          <xdr:col>4</xdr:col>
          <xdr:colOff>0</xdr:colOff>
          <xdr:row>85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ano/ne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85</xdr:row>
          <xdr:rowOff>0</xdr:rowOff>
        </xdr:from>
        <xdr:to>
          <xdr:col>4</xdr:col>
          <xdr:colOff>0</xdr:colOff>
          <xdr:row>86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ano/ne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4</xdr:col>
          <xdr:colOff>0</xdr:colOff>
          <xdr:row>90</xdr:row>
          <xdr:rowOff>0</xdr:rowOff>
        </xdr:to>
        <xdr:sp macro="" textlink="">
          <xdr:nvSpPr>
            <xdr:cNvPr id="4115" name="Drop Dow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0</xdr:colOff>
          <xdr:row>93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ano/ne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103</xdr:row>
          <xdr:rowOff>0</xdr:rowOff>
        </xdr:from>
        <xdr:to>
          <xdr:col>4</xdr:col>
          <xdr:colOff>0</xdr:colOff>
          <xdr:row>104</xdr:row>
          <xdr:rowOff>0</xdr:rowOff>
        </xdr:to>
        <xdr:sp macro="" textlink="">
          <xdr:nvSpPr>
            <xdr:cNvPr id="4125" name="Drop Down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0</xdr:colOff>
          <xdr:row>107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ano/ne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117</xdr:row>
          <xdr:rowOff>0</xdr:rowOff>
        </xdr:from>
        <xdr:to>
          <xdr:col>4</xdr:col>
          <xdr:colOff>0</xdr:colOff>
          <xdr:row>118</xdr:row>
          <xdr:rowOff>0</xdr:rowOff>
        </xdr:to>
        <xdr:sp macro="" textlink="">
          <xdr:nvSpPr>
            <xdr:cNvPr id="4131" name="Drop Down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120</xdr:row>
          <xdr:rowOff>0</xdr:rowOff>
        </xdr:from>
        <xdr:to>
          <xdr:col>4</xdr:col>
          <xdr:colOff>0</xdr:colOff>
          <xdr:row>121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ano/ne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131</xdr:row>
          <xdr:rowOff>0</xdr:rowOff>
        </xdr:from>
        <xdr:to>
          <xdr:col>4</xdr:col>
          <xdr:colOff>0</xdr:colOff>
          <xdr:row>132</xdr:row>
          <xdr:rowOff>0</xdr:rowOff>
        </xdr:to>
        <xdr:sp macro="" textlink="">
          <xdr:nvSpPr>
            <xdr:cNvPr id="4137" name="Drop Down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134</xdr:row>
          <xdr:rowOff>0</xdr:rowOff>
        </xdr:from>
        <xdr:to>
          <xdr:col>4</xdr:col>
          <xdr:colOff>0</xdr:colOff>
          <xdr:row>135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ano/ne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28576</xdr:rowOff>
    </xdr:from>
    <xdr:to>
      <xdr:col>32</xdr:col>
      <xdr:colOff>0</xdr:colOff>
      <xdr:row>4</xdr:row>
      <xdr:rowOff>0</xdr:rowOff>
    </xdr:to>
    <xdr:sp macro="" textlink="">
      <xdr:nvSpPr>
        <xdr:cNvPr id="3" name="Stužka zahnutá nahoru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28576"/>
          <a:ext cx="5905500" cy="733424"/>
        </a:xfrm>
        <a:prstGeom prst="ellipseRibbon2">
          <a:avLst>
            <a:gd name="adj1" fmla="val 25000"/>
            <a:gd name="adj2" fmla="val 73284"/>
            <a:gd name="adj3" fmla="val 1250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indent="228600" algn="just">
            <a:spcAft>
              <a:spcPts val="0"/>
            </a:spcAft>
          </a:pPr>
          <a:r>
            <a:rPr lang="cs-CZ" sz="500">
              <a:solidFill>
                <a:srgbClr val="000000"/>
              </a:solidFill>
              <a:effectLst/>
              <a:latin typeface="XalTerion"/>
              <a:ea typeface="Century Schoolbook"/>
              <a:cs typeface="Times New Roman"/>
            </a:rPr>
            <a:t> </a:t>
          </a:r>
          <a:endParaRPr lang="en-US" sz="1100">
            <a:effectLst/>
            <a:ea typeface="Century Schoolbook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</xdr:row>
      <xdr:rowOff>190499</xdr:rowOff>
    </xdr:from>
    <xdr:to>
      <xdr:col>15</xdr:col>
      <xdr:colOff>0</xdr:colOff>
      <xdr:row>17</xdr:row>
      <xdr:rowOff>0</xdr:rowOff>
    </xdr:to>
    <xdr:sp macro="" textlink="">
      <xdr:nvSpPr>
        <xdr:cNvPr id="4" name="Zaoblený obdélní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0357" y="952499"/>
          <a:ext cx="1905000" cy="2286001"/>
        </a:xfrm>
        <a:prstGeom prst="round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28576</xdr:rowOff>
    </xdr:from>
    <xdr:to>
      <xdr:col>32</xdr:col>
      <xdr:colOff>0</xdr:colOff>
      <xdr:row>4</xdr:row>
      <xdr:rowOff>0</xdr:rowOff>
    </xdr:to>
    <xdr:sp macro="" textlink="">
      <xdr:nvSpPr>
        <xdr:cNvPr id="2" name="Stužka zahnutá nahoru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85800" y="28576"/>
          <a:ext cx="5143500" cy="733424"/>
        </a:xfrm>
        <a:prstGeom prst="ellipseRibbon2">
          <a:avLst>
            <a:gd name="adj1" fmla="val 25000"/>
            <a:gd name="adj2" fmla="val 73284"/>
            <a:gd name="adj3" fmla="val 1250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indent="228600" algn="just">
            <a:spcAft>
              <a:spcPts val="0"/>
            </a:spcAft>
          </a:pPr>
          <a:r>
            <a:rPr lang="cs-CZ" sz="500">
              <a:solidFill>
                <a:srgbClr val="000000"/>
              </a:solidFill>
              <a:effectLst/>
              <a:latin typeface="XalTerion"/>
              <a:ea typeface="Century Schoolbook"/>
              <a:cs typeface="Times New Roman"/>
            </a:rPr>
            <a:t> </a:t>
          </a:r>
          <a:endParaRPr lang="en-US" sz="1100">
            <a:effectLst/>
            <a:ea typeface="Century Schoolbook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</xdr:row>
      <xdr:rowOff>190499</xdr:rowOff>
    </xdr:from>
    <xdr:to>
      <xdr:col>15</xdr:col>
      <xdr:colOff>0</xdr:colOff>
      <xdr:row>17</xdr:row>
      <xdr:rowOff>0</xdr:rowOff>
    </xdr:to>
    <xdr:sp macro="" textlink="">
      <xdr:nvSpPr>
        <xdr:cNvPr id="3" name="Zaoblený obdélní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85800" y="952499"/>
          <a:ext cx="1905000" cy="2286001"/>
        </a:xfrm>
        <a:prstGeom prst="round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6</xdr:row>
          <xdr:rowOff>0</xdr:rowOff>
        </xdr:from>
        <xdr:to>
          <xdr:col>41</xdr:col>
          <xdr:colOff>0</xdr:colOff>
          <xdr:row>7</xdr:row>
          <xdr:rowOff>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10</xdr:row>
          <xdr:rowOff>0</xdr:rowOff>
        </xdr:from>
        <xdr:to>
          <xdr:col>41</xdr:col>
          <xdr:colOff>0</xdr:colOff>
          <xdr:row>11</xdr:row>
          <xdr:rowOff>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14</xdr:row>
          <xdr:rowOff>0</xdr:rowOff>
        </xdr:from>
        <xdr:to>
          <xdr:col>41</xdr:col>
          <xdr:colOff>0</xdr:colOff>
          <xdr:row>15</xdr:row>
          <xdr:rowOff>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K315"/>
  <sheetViews>
    <sheetView topLeftCell="A41" workbookViewId="0">
      <selection activeCell="A70" sqref="A70:M71"/>
    </sheetView>
  </sheetViews>
  <sheetFormatPr defaultColWidth="9.140625" defaultRowHeight="14.25" x14ac:dyDescent="0.2"/>
  <cols>
    <col min="1" max="2" width="2.7109375" style="22" customWidth="1"/>
    <col min="3" max="3" width="20.7109375" style="22" customWidth="1"/>
    <col min="4" max="9" width="10.7109375" style="22" customWidth="1"/>
    <col min="10" max="10" width="2.7109375" style="24" customWidth="1"/>
    <col min="11" max="11" width="50.7109375" style="92" customWidth="1"/>
    <col min="12" max="16384" width="9.140625" style="22"/>
  </cols>
  <sheetData>
    <row r="1" spans="2:11" ht="15" customHeight="1" x14ac:dyDescent="0.2"/>
    <row r="2" spans="2:11" ht="15" customHeight="1" x14ac:dyDescent="0.25">
      <c r="C2" s="220" t="s">
        <v>192</v>
      </c>
      <c r="D2" s="220"/>
      <c r="E2" s="220"/>
      <c r="F2" s="220"/>
      <c r="G2" s="220"/>
      <c r="H2" s="220"/>
      <c r="I2" s="220"/>
      <c r="J2" s="46"/>
      <c r="K2" s="40"/>
    </row>
    <row r="3" spans="2:11" ht="15" customHeight="1" x14ac:dyDescent="0.2">
      <c r="C3" s="22" t="s">
        <v>193</v>
      </c>
    </row>
    <row r="4" spans="2:11" ht="15" customHeight="1" x14ac:dyDescent="0.2">
      <c r="D4" s="23" t="s">
        <v>194</v>
      </c>
    </row>
    <row r="5" spans="2:11" ht="15" customHeight="1" x14ac:dyDescent="0.2">
      <c r="D5" s="23" t="s">
        <v>233</v>
      </c>
      <c r="G5" s="224" t="s">
        <v>195</v>
      </c>
      <c r="H5" s="224"/>
      <c r="I5" s="224"/>
      <c r="J5" s="26"/>
    </row>
    <row r="6" spans="2:11" ht="15" customHeight="1" x14ac:dyDescent="0.2">
      <c r="D6" s="23" t="s">
        <v>207</v>
      </c>
      <c r="G6" s="223"/>
      <c r="H6" s="223"/>
      <c r="I6" s="223"/>
      <c r="J6" s="26"/>
      <c r="K6" s="93"/>
    </row>
    <row r="7" spans="2:11" ht="15" customHeight="1" x14ac:dyDescent="0.25">
      <c r="D7" s="23" t="s">
        <v>208</v>
      </c>
      <c r="G7" s="225" t="s">
        <v>226</v>
      </c>
      <c r="H7" s="225"/>
      <c r="I7" s="225"/>
      <c r="J7" s="26"/>
      <c r="K7" s="93"/>
    </row>
    <row r="8" spans="2:11" ht="15" customHeight="1" x14ac:dyDescent="0.25">
      <c r="C8" s="24"/>
      <c r="D8" s="90"/>
      <c r="E8" s="24"/>
      <c r="F8" s="24"/>
      <c r="G8" s="91"/>
      <c r="H8" s="91"/>
      <c r="I8" s="91"/>
      <c r="J8" s="26"/>
      <c r="K8" s="93"/>
    </row>
    <row r="9" spans="2:11" ht="15" customHeight="1" x14ac:dyDescent="0.2">
      <c r="C9" s="24" t="s">
        <v>227</v>
      </c>
      <c r="D9" s="222" t="str">
        <f ca="1">IF(COUNTA(K:K)=COUNTIF(K:K,"OK"),"VŠECHNO JE V NAPROSTÉM POŘÁDKU","NĚKDE PŘI TVORBĚ POSTAVY NASTALA CHYBA")</f>
        <v>NĚKDE PŘI TVORBĚ POSTAVY NASTALA CHYBA</v>
      </c>
      <c r="E9" s="222"/>
      <c r="F9" s="222"/>
      <c r="G9" s="222"/>
      <c r="H9" s="222"/>
      <c r="I9" s="222"/>
      <c r="J9" s="26"/>
      <c r="K9" s="93"/>
    </row>
    <row r="10" spans="2:11" ht="15" customHeight="1" x14ac:dyDescent="0.2">
      <c r="C10" s="24"/>
      <c r="D10" s="89"/>
      <c r="E10" s="89"/>
      <c r="F10" s="89"/>
      <c r="G10" s="89"/>
      <c r="H10" s="89"/>
      <c r="I10" s="89"/>
      <c r="J10" s="26"/>
      <c r="K10" s="93"/>
    </row>
    <row r="11" spans="2:11" ht="15" customHeight="1" x14ac:dyDescent="0.2">
      <c r="C11" s="24" t="s">
        <v>232</v>
      </c>
      <c r="D11" s="89">
        <f>_ZbrojMag+_StitMag+_Mag1+_Mag2+_Mag3+_Mag4</f>
        <v>4</v>
      </c>
      <c r="E11" s="89"/>
      <c r="F11" s="89"/>
      <c r="G11" s="89"/>
      <c r="H11" s="89"/>
      <c r="I11" s="89"/>
      <c r="J11" s="26"/>
      <c r="K11" s="93"/>
    </row>
    <row r="12" spans="2:11" ht="15" customHeight="1" thickBot="1" x14ac:dyDescent="0.25"/>
    <row r="13" spans="2:11" ht="15" customHeight="1" x14ac:dyDescent="0.2">
      <c r="B13" s="47"/>
      <c r="C13" s="48"/>
      <c r="D13" s="48"/>
      <c r="E13" s="48"/>
      <c r="F13" s="48"/>
      <c r="G13" s="48"/>
      <c r="H13" s="48"/>
      <c r="I13" s="48"/>
      <c r="J13" s="49"/>
    </row>
    <row r="14" spans="2:11" ht="15" customHeight="1" x14ac:dyDescent="0.25">
      <c r="B14" s="50"/>
      <c r="C14" s="51" t="s">
        <v>196</v>
      </c>
      <c r="D14" s="52"/>
      <c r="E14" s="52"/>
      <c r="F14" s="52"/>
      <c r="G14" s="52"/>
      <c r="H14" s="52"/>
      <c r="I14" s="52"/>
      <c r="J14" s="53"/>
    </row>
    <row r="15" spans="2:11" ht="15" customHeight="1" x14ac:dyDescent="0.2">
      <c r="B15" s="50"/>
      <c r="C15" s="27"/>
      <c r="D15" s="27"/>
      <c r="E15" s="27"/>
      <c r="F15" s="27"/>
      <c r="G15" s="27"/>
      <c r="H15" s="27"/>
      <c r="I15" s="27"/>
      <c r="J15" s="54"/>
      <c r="K15" s="94"/>
    </row>
    <row r="16" spans="2:11" ht="15" customHeight="1" x14ac:dyDescent="0.2">
      <c r="B16" s="50"/>
      <c r="C16" s="27" t="s">
        <v>197</v>
      </c>
      <c r="D16" s="39" t="s">
        <v>14</v>
      </c>
      <c r="F16" s="52"/>
      <c r="G16" s="27"/>
      <c r="H16" s="27"/>
      <c r="I16" s="27"/>
      <c r="J16" s="54"/>
      <c r="K16" s="94"/>
    </row>
    <row r="17" spans="2:11" ht="15" customHeight="1" x14ac:dyDescent="0.2">
      <c r="B17" s="50"/>
      <c r="C17" s="27"/>
      <c r="D17" s="27"/>
      <c r="E17" s="27"/>
      <c r="F17" s="27"/>
      <c r="G17" s="27"/>
      <c r="H17" s="27"/>
      <c r="I17" s="27"/>
      <c r="J17" s="54"/>
      <c r="K17" s="94"/>
    </row>
    <row r="18" spans="2:11" ht="15" customHeight="1" x14ac:dyDescent="0.25">
      <c r="B18" s="50"/>
      <c r="C18" s="27" t="s">
        <v>15</v>
      </c>
      <c r="D18" s="221" t="s">
        <v>198</v>
      </c>
      <c r="E18" s="221"/>
      <c r="F18" s="221"/>
      <c r="G18" s="221"/>
      <c r="H18" s="221"/>
      <c r="I18" s="28"/>
      <c r="J18" s="55"/>
      <c r="K18" s="94"/>
    </row>
    <row r="19" spans="2:11" ht="15" customHeight="1" x14ac:dyDescent="0.2">
      <c r="B19" s="50"/>
      <c r="C19" s="27"/>
      <c r="D19" s="221"/>
      <c r="E19" s="221"/>
      <c r="F19" s="221"/>
      <c r="G19" s="221"/>
      <c r="H19" s="221"/>
      <c r="I19" s="27"/>
      <c r="J19" s="54"/>
      <c r="K19" s="94"/>
    </row>
    <row r="20" spans="2:11" ht="15" customHeight="1" x14ac:dyDescent="0.2">
      <c r="B20" s="50"/>
      <c r="C20" s="27"/>
      <c r="D20" s="221"/>
      <c r="E20" s="221"/>
      <c r="F20" s="221"/>
      <c r="G20" s="221"/>
      <c r="H20" s="221"/>
      <c r="I20" s="27"/>
      <c r="J20" s="54"/>
      <c r="K20" s="94"/>
    </row>
    <row r="21" spans="2:11" ht="15" customHeight="1" x14ac:dyDescent="0.2">
      <c r="B21" s="50"/>
      <c r="C21" s="27"/>
      <c r="D21" s="221"/>
      <c r="E21" s="221"/>
      <c r="F21" s="221"/>
      <c r="G21" s="221"/>
      <c r="H21" s="221"/>
      <c r="I21" s="27"/>
      <c r="J21" s="54"/>
      <c r="K21" s="94"/>
    </row>
    <row r="22" spans="2:11" ht="15" customHeight="1" x14ac:dyDescent="0.2">
      <c r="B22" s="50"/>
      <c r="C22" s="27"/>
      <c r="D22" s="221"/>
      <c r="E22" s="221"/>
      <c r="F22" s="221"/>
      <c r="G22" s="221"/>
      <c r="H22" s="221"/>
      <c r="I22" s="27"/>
      <c r="J22" s="54"/>
      <c r="K22" s="94"/>
    </row>
    <row r="23" spans="2:11" ht="15" customHeight="1" x14ac:dyDescent="0.2">
      <c r="B23" s="50"/>
      <c r="C23" s="27"/>
      <c r="D23" s="221"/>
      <c r="E23" s="221"/>
      <c r="F23" s="221"/>
      <c r="G23" s="221"/>
      <c r="H23" s="221"/>
      <c r="I23" s="27"/>
      <c r="J23" s="54"/>
      <c r="K23" s="94"/>
    </row>
    <row r="24" spans="2:11" ht="15" customHeight="1" x14ac:dyDescent="0.2">
      <c r="B24" s="50"/>
      <c r="C24" s="27"/>
      <c r="D24" s="27"/>
      <c r="E24" s="27"/>
      <c r="F24" s="27"/>
      <c r="G24" s="27"/>
      <c r="H24" s="27"/>
      <c r="I24" s="27"/>
      <c r="J24" s="54"/>
      <c r="K24" s="94"/>
    </row>
    <row r="25" spans="2:11" ht="15" customHeight="1" x14ac:dyDescent="0.2">
      <c r="B25" s="50"/>
      <c r="C25" s="27" t="s">
        <v>29</v>
      </c>
      <c r="D25" s="27"/>
      <c r="E25" s="27"/>
      <c r="F25" s="27"/>
      <c r="G25" s="27"/>
      <c r="H25" s="30">
        <v>5</v>
      </c>
      <c r="I25" s="27"/>
      <c r="J25" s="54"/>
      <c r="K25" s="94"/>
    </row>
    <row r="26" spans="2:11" ht="15" customHeight="1" x14ac:dyDescent="0.2">
      <c r="B26" s="50"/>
      <c r="C26" s="27"/>
      <c r="D26" s="27"/>
      <c r="E26" s="27"/>
      <c r="F26" s="27"/>
      <c r="G26" s="27"/>
      <c r="H26" s="30"/>
      <c r="I26" s="27"/>
      <c r="J26" s="54"/>
      <c r="K26" s="94"/>
    </row>
    <row r="27" spans="2:11" ht="15" customHeight="1" x14ac:dyDescent="0.2">
      <c r="B27" s="50"/>
      <c r="C27" s="27" t="s">
        <v>32</v>
      </c>
      <c r="D27" s="27"/>
      <c r="E27" s="27"/>
      <c r="F27" s="27"/>
      <c r="G27" s="27"/>
      <c r="H27" s="30">
        <v>4</v>
      </c>
      <c r="I27" s="27"/>
      <c r="J27" s="54"/>
      <c r="K27" s="94"/>
    </row>
    <row r="28" spans="2:11" ht="15" customHeight="1" x14ac:dyDescent="0.2">
      <c r="B28" s="50"/>
      <c r="C28" s="27"/>
      <c r="D28" s="27"/>
      <c r="E28" s="27"/>
      <c r="F28" s="27"/>
      <c r="G28" s="27"/>
      <c r="H28" s="30"/>
      <c r="I28" s="27"/>
      <c r="J28" s="54"/>
      <c r="K28" s="94"/>
    </row>
    <row r="29" spans="2:11" ht="15" customHeight="1" x14ac:dyDescent="0.2">
      <c r="B29" s="50"/>
      <c r="C29" s="27" t="s">
        <v>30</v>
      </c>
      <c r="D29" s="27"/>
      <c r="E29" s="27"/>
      <c r="F29" s="27"/>
      <c r="G29" s="27"/>
      <c r="H29" s="30">
        <v>5</v>
      </c>
      <c r="I29" s="52"/>
      <c r="J29" s="53"/>
      <c r="K29" s="94"/>
    </row>
    <row r="30" spans="2:11" ht="15" customHeight="1" x14ac:dyDescent="0.2">
      <c r="B30" s="50"/>
      <c r="C30" s="27"/>
      <c r="D30" s="27"/>
      <c r="E30" s="27"/>
      <c r="F30" s="27"/>
      <c r="G30" s="27"/>
      <c r="H30" s="30"/>
      <c r="I30" s="27"/>
      <c r="J30" s="54"/>
      <c r="K30" s="94"/>
    </row>
    <row r="31" spans="2:11" ht="15" customHeight="1" x14ac:dyDescent="0.25">
      <c r="B31" s="50"/>
      <c r="C31" s="27" t="s">
        <v>31</v>
      </c>
      <c r="D31" s="28" t="str">
        <f>IF(_LVL&lt;6,"← Nemá smysl!","")</f>
        <v/>
      </c>
      <c r="E31" s="27"/>
      <c r="F31" s="27"/>
      <c r="G31" s="27"/>
      <c r="H31" s="30">
        <v>2</v>
      </c>
      <c r="J31" s="55"/>
      <c r="K31" s="94"/>
    </row>
    <row r="32" spans="2:11" ht="15" customHeight="1" thickBot="1" x14ac:dyDescent="0.25">
      <c r="B32" s="56"/>
      <c r="C32" s="57"/>
      <c r="D32" s="57"/>
      <c r="E32" s="57"/>
      <c r="F32" s="57"/>
      <c r="G32" s="57"/>
      <c r="H32" s="57"/>
      <c r="I32" s="57"/>
      <c r="J32" s="58"/>
      <c r="K32" s="94"/>
    </row>
    <row r="33" spans="2:11" ht="15" customHeight="1" x14ac:dyDescent="0.2">
      <c r="B33" s="47"/>
      <c r="C33" s="59"/>
      <c r="D33" s="59"/>
      <c r="E33" s="59"/>
      <c r="F33" s="59"/>
      <c r="G33" s="59"/>
      <c r="H33" s="59"/>
      <c r="I33" s="59"/>
      <c r="J33" s="60"/>
      <c r="K33" s="94"/>
    </row>
    <row r="34" spans="2:11" ht="15" customHeight="1" x14ac:dyDescent="0.25">
      <c r="B34" s="50"/>
      <c r="C34" s="51" t="s">
        <v>199</v>
      </c>
      <c r="D34" s="52"/>
      <c r="E34" s="52"/>
      <c r="F34" s="52"/>
      <c r="G34" s="52"/>
      <c r="H34" s="52"/>
      <c r="I34" s="27"/>
      <c r="J34" s="54"/>
      <c r="K34" s="94"/>
    </row>
    <row r="35" spans="2:11" ht="15" customHeight="1" x14ac:dyDescent="0.2">
      <c r="B35" s="50"/>
      <c r="C35" s="27"/>
      <c r="D35" s="27"/>
      <c r="E35" s="27"/>
      <c r="F35" s="27"/>
      <c r="G35" s="27"/>
      <c r="H35" s="27"/>
      <c r="I35" s="27"/>
      <c r="J35" s="54"/>
      <c r="K35" s="94"/>
    </row>
    <row r="36" spans="2:11" ht="15" customHeight="1" x14ac:dyDescent="0.25">
      <c r="B36" s="50"/>
      <c r="C36" s="27"/>
      <c r="D36" s="29" t="s">
        <v>58</v>
      </c>
      <c r="E36" s="29" t="s">
        <v>57</v>
      </c>
      <c r="F36" s="29" t="s">
        <v>59</v>
      </c>
      <c r="G36" s="29" t="s">
        <v>60</v>
      </c>
      <c r="H36" s="27"/>
      <c r="I36" s="27"/>
      <c r="J36" s="54"/>
      <c r="K36" s="94"/>
    </row>
    <row r="37" spans="2:11" ht="15" customHeight="1" x14ac:dyDescent="0.25">
      <c r="B37" s="50"/>
      <c r="C37" s="27" t="s">
        <v>16</v>
      </c>
      <c r="D37" s="30">
        <f ca="1">IF(OFFSET(_Vlastnosti_Povolani_k6,_ZakPovInd-1,0,1,1)=1,OFFSET(_Vlastnosti_Povolani_k6,_ZakPovInd-1,0,1,1),OFFSET(_Vlastnosti_Rasa_k6,_RasInd-1,0,1,1))</f>
        <v>1</v>
      </c>
      <c r="E37" s="31">
        <f ca="1">D37*3</f>
        <v>3</v>
      </c>
      <c r="F37" s="32">
        <f ca="1">IF(OFFSET(_Vlastnosti_Povolani_k6,_ZakPovInd-1,0,1,1)=1,OFFSET(_Vlastnosti_Povolani,_ZakPovInd-1,0,1,1)-OFFSET(_Vlastnosti_Povolani_k6,_ZakPovInd-1,0,1,1)+E37+OFFSET(_Vlastnosti_Povolani_Oprava,_RasInd-1,0,1,1),OFFSET(_Vlastnosti_Rasa,_RasInd-1,0,1,1)-OFFSET(_Vlastnosti_Rasa_k6,_RasInd-1,0,1,1)+E37)</f>
        <v>13</v>
      </c>
      <c r="G37" s="32">
        <f ca="1">OFFSET(_Bonus,F37,0,1,1)</f>
        <v>1</v>
      </c>
      <c r="H37" s="27"/>
      <c r="I37" s="27"/>
      <c r="J37" s="54"/>
      <c r="K37" s="95" t="str">
        <f ca="1">IF(E37&gt;D37*6,"← Na kostce jsi hodil víc než je možné!","OK")</f>
        <v>OK</v>
      </c>
    </row>
    <row r="38" spans="2:11" ht="15" customHeight="1" x14ac:dyDescent="0.25">
      <c r="B38" s="50"/>
      <c r="C38" s="27" t="s">
        <v>20</v>
      </c>
      <c r="D38" s="30">
        <f ca="1">IF(OFFSET(_Vlastnosti_Povolani_k6,_ZakPovInd-1,1,1,1)=1,OFFSET(_Vlastnosti_Povolani_k6,_ZakPovInd-1,1,1,1),OFFSET(_Vlastnosti_Rasa_k6,_RasInd-1,1,1,1))</f>
        <v>1</v>
      </c>
      <c r="E38" s="31">
        <f t="shared" ref="E38:E41" ca="1" si="0">D38*3</f>
        <v>3</v>
      </c>
      <c r="F38" s="32">
        <f ca="1">IF(OFFSET(_Vlastnosti_Povolani_k6,_ZakPovInd-1,1,1,1)=1,OFFSET(_Vlastnosti_Povolani,_ZakPovInd-1,1,1,1)-OFFSET(_Vlastnosti_Povolani_k6,_ZakPovInd-1,1,1,1)+E38+OFFSET(_Vlastnosti_Povolani_Oprava,_RasInd-1,1,1,1),OFFSET(_Vlastnosti_Rasa,_RasInd-1,1,1,1)-OFFSET(_Vlastnosti_Rasa_k6,_RasInd-1,1,1,1)+E38)</f>
        <v>11</v>
      </c>
      <c r="G38" s="32">
        <f ca="1">OFFSET(_Bonus,F38,0,1,1)</f>
        <v>0</v>
      </c>
      <c r="H38" s="27"/>
      <c r="I38" s="27"/>
      <c r="J38" s="54"/>
      <c r="K38" s="95" t="str">
        <f ca="1">IF(E38&gt;D38*6,"← Na kostce jsi hodil víc než je možné!","OK")</f>
        <v>OK</v>
      </c>
    </row>
    <row r="39" spans="2:11" ht="15" customHeight="1" x14ac:dyDescent="0.25">
      <c r="B39" s="50"/>
      <c r="C39" s="27" t="s">
        <v>19</v>
      </c>
      <c r="D39" s="30">
        <f ca="1">IF(OFFSET(_Vlastnosti_Povolani_k6,_ZakPovInd-1,2,1,1)=1,OFFSET(_Vlastnosti_Povolani_k6,_ZakPovInd-1,2,1,1),OFFSET(_Vlastnosti_Rasa_k6,_RasInd-1,2,1,1))</f>
        <v>1</v>
      </c>
      <c r="E39" s="31">
        <f t="shared" ca="1" si="0"/>
        <v>3</v>
      </c>
      <c r="F39" s="32">
        <f ca="1">IF(OFFSET(_Vlastnosti_Povolani_k6,_ZakPovInd-1,2,1,1)=1,OFFSET(_Vlastnosti_Povolani,_ZakPovInd-1,2,1,1)-OFFSET(_Vlastnosti_Povolani_k6,_ZakPovInd-1,2,1,1)+E39+OFFSET(_Vlastnosti_Povolani_Oprava,_RasInd-1,2,1,1),OFFSET(_Vlastnosti_Rasa,_RasInd-1,2,1,1)-OFFSET(_Vlastnosti_Rasa_k6,_RasInd-1,2,1,1)+E39)</f>
        <v>17</v>
      </c>
      <c r="G39" s="32">
        <f ca="1">OFFSET(_Bonus,F39,0,1,1)</f>
        <v>3</v>
      </c>
      <c r="H39" s="27"/>
      <c r="I39" s="27"/>
      <c r="J39" s="54"/>
      <c r="K39" s="95" t="str">
        <f ca="1">IF(E39&gt;D39*6,"← Na kostce jsi hodil víc než je možné!","OK")</f>
        <v>OK</v>
      </c>
    </row>
    <row r="40" spans="2:11" ht="15" customHeight="1" x14ac:dyDescent="0.25">
      <c r="B40" s="50"/>
      <c r="C40" s="27" t="s">
        <v>21</v>
      </c>
      <c r="D40" s="30">
        <f ca="1">IF(OFFSET(_Vlastnosti_Povolani_k6,_ZakPovInd-1,3,1,1)=1,OFFSET(_Vlastnosti_Povolani_k6,_ZakPovInd-1,3,1,1),OFFSET(_Vlastnosti_Rasa_k6,_RasInd-1,3,1,1))</f>
        <v>1</v>
      </c>
      <c r="E40" s="31">
        <f t="shared" ca="1" si="0"/>
        <v>3</v>
      </c>
      <c r="F40" s="32">
        <f ca="1">IF(OFFSET(_Vlastnosti_Povolani_k6,_ZakPovInd-1,3,1,1)=1,OFFSET(_Vlastnosti_Povolani,_ZakPovInd-1,3,1,1)-OFFSET(_Vlastnosti_Povolani_k6,_ZakPovInd-1,3,1,1)+E40+OFFSET(_Vlastnosti_Povolani_Oprava,_RasInd-1,3,1,1),OFFSET(_Vlastnosti_Rasa,_RasInd-1,3,1,1)-OFFSET(_Vlastnosti_Rasa_k6,_RasInd-1,3,1,1)+E40)</f>
        <v>4</v>
      </c>
      <c r="G40" s="32">
        <f ca="1">OFFSET(_Bonus,F40,0,1,1)</f>
        <v>-3</v>
      </c>
      <c r="H40" s="27"/>
      <c r="I40" s="27"/>
      <c r="J40" s="54"/>
      <c r="K40" s="95" t="str">
        <f ca="1">IF(E40&gt;D40*6,"← Na kostce jsi hodil víc než je možné!","OK")</f>
        <v>OK</v>
      </c>
    </row>
    <row r="41" spans="2:11" ht="15" customHeight="1" x14ac:dyDescent="0.25">
      <c r="B41" s="50"/>
      <c r="C41" s="27" t="s">
        <v>22</v>
      </c>
      <c r="D41" s="30">
        <f ca="1">IF(OFFSET(_Vlastnosti_Povolani_k6,_ZakPovInd-1,4,1,1)=1,OFFSET(_Vlastnosti_Povolani_k6,_ZakPovInd-1,4,1,1),OFFSET(_Vlastnosti_Rasa_k6,_RasInd-1,4,1,1))</f>
        <v>2</v>
      </c>
      <c r="E41" s="31">
        <f t="shared" ca="1" si="0"/>
        <v>6</v>
      </c>
      <c r="F41" s="32">
        <f ca="1">IF(OFFSET(_Vlastnosti_Povolani_k6,_ZakPovInd-1,4,1,1)=1,OFFSET(_Vlastnosti_Povolani,_ZakPovInd-1,4,1,1)-OFFSET(_Vlastnosti_Povolani_k6,_ZakPovInd-1,4,1,1)+E41+OFFSET(_Vlastnosti_Povolani_Oprava,_RasInd-1,4,1,1),OFFSET(_Vlastnosti_Rasa,_RasInd-1,4,1,1)-OFFSET(_Vlastnosti_Rasa_k6,_RasInd-1,4,1,1)+E41)</f>
        <v>5</v>
      </c>
      <c r="G41" s="32">
        <f ca="1">OFFSET(_Bonus,F41,0,1,1)</f>
        <v>-3</v>
      </c>
      <c r="H41" s="27"/>
      <c r="I41" s="27"/>
      <c r="J41" s="54"/>
      <c r="K41" s="95" t="str">
        <f ca="1">IF(E41&gt;D41*6,"← Na kostce jsi hodil víc než je možné!","OK")</f>
        <v>OK</v>
      </c>
    </row>
    <row r="42" spans="2:11" ht="15" customHeight="1" x14ac:dyDescent="0.2">
      <c r="B42" s="50"/>
      <c r="C42" s="27"/>
      <c r="D42" s="27"/>
      <c r="E42" s="27"/>
      <c r="F42" s="27"/>
      <c r="G42" s="27"/>
      <c r="H42" s="27"/>
      <c r="I42" s="27"/>
      <c r="J42" s="54"/>
      <c r="K42" s="94"/>
    </row>
    <row r="43" spans="2:11" ht="15" customHeight="1" x14ac:dyDescent="0.25">
      <c r="B43" s="50"/>
      <c r="C43" s="27"/>
      <c r="D43" s="29" t="s">
        <v>200</v>
      </c>
      <c r="E43" s="29" t="str">
        <f ca="1">CONCATENATE("#k",D44)</f>
        <v>#k6</v>
      </c>
      <c r="F43" s="29" t="s">
        <v>18</v>
      </c>
      <c r="G43" s="27"/>
      <c r="H43" s="27"/>
      <c r="I43" s="27"/>
      <c r="J43" s="54"/>
    </row>
    <row r="44" spans="2:11" ht="15" customHeight="1" x14ac:dyDescent="0.2">
      <c r="B44" s="50"/>
      <c r="C44" s="27" t="s">
        <v>18</v>
      </c>
      <c r="D44" s="30">
        <f ca="1">OFFSET(_ZivTab,_ZakPovInd-1,1,1,1)</f>
        <v>6</v>
      </c>
      <c r="E44" s="30">
        <f>IF(_LVL=1,0,IF(_LVL&lt;10,_LVL-1,8))</f>
        <v>7</v>
      </c>
      <c r="F44" s="32">
        <f ca="1">OFFSET(_ZivTab,_ZakPovInd-1,0,1,1)+_BODL+SUM(F47:F54)+IF(_LVL&gt;9,_LVL-9*OFFSET(_ZivTab,_ZakPovInd-1,3,1,1),0)</f>
        <v>64</v>
      </c>
      <c r="G44" s="27"/>
      <c r="H44" s="27"/>
      <c r="I44" s="27"/>
      <c r="J44" s="54"/>
    </row>
    <row r="45" spans="2:11" ht="15" customHeight="1" thickBot="1" x14ac:dyDescent="0.25">
      <c r="B45" s="50"/>
      <c r="C45" s="27"/>
      <c r="D45" s="27"/>
      <c r="E45" s="27"/>
      <c r="F45" s="27"/>
      <c r="G45" s="27"/>
      <c r="H45" s="27"/>
      <c r="I45" s="27"/>
      <c r="J45" s="54"/>
    </row>
    <row r="46" spans="2:11" ht="15" customHeight="1" x14ac:dyDescent="0.25">
      <c r="B46" s="50"/>
      <c r="C46" s="98"/>
      <c r="D46" s="33" t="s">
        <v>68</v>
      </c>
      <c r="E46" s="33" t="str">
        <f ca="1">CONCATENATE("k",D44)</f>
        <v>k6</v>
      </c>
      <c r="F46" s="34" t="s">
        <v>69</v>
      </c>
      <c r="G46" s="27"/>
      <c r="H46" s="27"/>
      <c r="I46" s="27"/>
      <c r="J46" s="54"/>
    </row>
    <row r="47" spans="2:11" ht="15" customHeight="1" x14ac:dyDescent="0.25">
      <c r="B47" s="50"/>
      <c r="C47" s="100" t="s">
        <v>234</v>
      </c>
      <c r="D47" s="30">
        <v>1</v>
      </c>
      <c r="E47" s="31">
        <v>6</v>
      </c>
      <c r="F47" s="35">
        <f ca="1">IF(D47&lt;=$E$44,MAX(E47+OFFSET(_ZivTab,_ZakPovInd-1,2,1,1)+_BODL,1),0)</f>
        <v>11</v>
      </c>
      <c r="G47" s="27"/>
      <c r="H47" s="27"/>
      <c r="I47" s="27"/>
      <c r="J47" s="54"/>
      <c r="K47" s="95" t="str">
        <f t="shared" ref="K47:K54" ca="1" si="1">IF(AND(E47&gt;$D$44,D47&lt;=$E$44),"← Na kostce jsi hodil víc než je možné!","OK")</f>
        <v>OK</v>
      </c>
    </row>
    <row r="48" spans="2:11" ht="15" customHeight="1" x14ac:dyDescent="0.25">
      <c r="B48" s="50"/>
      <c r="C48" s="100" t="s">
        <v>235</v>
      </c>
      <c r="D48" s="30">
        <v>2</v>
      </c>
      <c r="E48" s="31">
        <v>6</v>
      </c>
      <c r="F48" s="35">
        <f ca="1">IF(D48&lt;=$E$44,MAX(E48+OFFSET(_ZivTab,_ZakPovInd-1,2,1,1)+_BODL,1),0)</f>
        <v>11</v>
      </c>
      <c r="G48" s="52"/>
      <c r="H48" s="27"/>
      <c r="I48" s="27"/>
      <c r="J48" s="54"/>
      <c r="K48" s="95" t="str">
        <f t="shared" ca="1" si="1"/>
        <v>OK</v>
      </c>
    </row>
    <row r="49" spans="2:11" ht="15" customHeight="1" x14ac:dyDescent="0.25">
      <c r="B49" s="50"/>
      <c r="C49" s="100" t="s">
        <v>236</v>
      </c>
      <c r="D49" s="30">
        <v>3</v>
      </c>
      <c r="E49" s="31">
        <v>6</v>
      </c>
      <c r="F49" s="35">
        <f t="shared" ref="F49:F54" ca="1" si="2">IF(D49&lt;=$E$44,MAX(E49+OFFSET(_ZivTab,_ZakPovInd-1,2,1,1)+_BODL,1),0)</f>
        <v>11</v>
      </c>
      <c r="G49" s="27"/>
      <c r="H49" s="27"/>
      <c r="I49" s="27"/>
      <c r="J49" s="54"/>
      <c r="K49" s="95" t="str">
        <f t="shared" ca="1" si="1"/>
        <v>OK</v>
      </c>
    </row>
    <row r="50" spans="2:11" ht="15" customHeight="1" x14ac:dyDescent="0.25">
      <c r="B50" s="50"/>
      <c r="C50" s="100" t="s">
        <v>237</v>
      </c>
      <c r="D50" s="30">
        <v>4</v>
      </c>
      <c r="E50" s="31"/>
      <c r="F50" s="35">
        <f t="shared" ca="1" si="2"/>
        <v>5</v>
      </c>
      <c r="G50" s="27"/>
      <c r="H50" s="27"/>
      <c r="I50" s="27"/>
      <c r="J50" s="54"/>
      <c r="K50" s="95" t="str">
        <f t="shared" ca="1" si="1"/>
        <v>OK</v>
      </c>
    </row>
    <row r="51" spans="2:11" ht="15" customHeight="1" x14ac:dyDescent="0.25">
      <c r="B51" s="50"/>
      <c r="C51" s="100" t="s">
        <v>238</v>
      </c>
      <c r="D51" s="30">
        <v>5</v>
      </c>
      <c r="E51" s="31"/>
      <c r="F51" s="35">
        <f t="shared" ca="1" si="2"/>
        <v>5</v>
      </c>
      <c r="G51" s="27"/>
      <c r="H51" s="27"/>
      <c r="I51" s="27"/>
      <c r="J51" s="54"/>
      <c r="K51" s="95" t="str">
        <f t="shared" ca="1" si="1"/>
        <v>OK</v>
      </c>
    </row>
    <row r="52" spans="2:11" ht="15" customHeight="1" x14ac:dyDescent="0.25">
      <c r="B52" s="50"/>
      <c r="C52" s="100" t="s">
        <v>239</v>
      </c>
      <c r="D52" s="30">
        <v>6</v>
      </c>
      <c r="E52" s="31"/>
      <c r="F52" s="35">
        <f t="shared" ca="1" si="2"/>
        <v>5</v>
      </c>
      <c r="G52" s="27"/>
      <c r="H52" s="27"/>
      <c r="I52" s="27"/>
      <c r="J52" s="54"/>
      <c r="K52" s="95" t="str">
        <f t="shared" ca="1" si="1"/>
        <v>OK</v>
      </c>
    </row>
    <row r="53" spans="2:11" ht="15" customHeight="1" x14ac:dyDescent="0.25">
      <c r="B53" s="50"/>
      <c r="C53" s="100" t="s">
        <v>240</v>
      </c>
      <c r="D53" s="30">
        <v>7</v>
      </c>
      <c r="E53" s="31"/>
      <c r="F53" s="35">
        <f t="shared" ca="1" si="2"/>
        <v>5</v>
      </c>
      <c r="G53" s="52"/>
      <c r="H53" s="52"/>
      <c r="I53" s="52"/>
      <c r="J53" s="53"/>
      <c r="K53" s="95" t="str">
        <f t="shared" ca="1" si="1"/>
        <v>OK</v>
      </c>
    </row>
    <row r="54" spans="2:11" ht="15" customHeight="1" thickBot="1" x14ac:dyDescent="0.3">
      <c r="B54" s="50"/>
      <c r="C54" s="101" t="s">
        <v>241</v>
      </c>
      <c r="D54" s="99">
        <v>8</v>
      </c>
      <c r="E54" s="36"/>
      <c r="F54" s="37">
        <f t="shared" ca="1" si="2"/>
        <v>0</v>
      </c>
      <c r="G54" s="52"/>
      <c r="H54" s="52"/>
      <c r="I54" s="52"/>
      <c r="J54" s="53"/>
      <c r="K54" s="95" t="str">
        <f t="shared" ca="1" si="1"/>
        <v>OK</v>
      </c>
    </row>
    <row r="55" spans="2:11" ht="15" customHeight="1" thickBot="1" x14ac:dyDescent="0.25">
      <c r="B55" s="56"/>
      <c r="C55" s="61"/>
      <c r="D55" s="61"/>
      <c r="E55" s="61"/>
      <c r="F55" s="61"/>
      <c r="G55" s="61"/>
      <c r="H55" s="61"/>
      <c r="I55" s="61"/>
      <c r="J55" s="62"/>
    </row>
    <row r="56" spans="2:11" ht="15" customHeight="1" x14ac:dyDescent="0.2">
      <c r="B56" s="47"/>
      <c r="C56" s="48"/>
      <c r="D56" s="48"/>
      <c r="E56" s="48"/>
      <c r="F56" s="48"/>
      <c r="G56" s="48"/>
      <c r="H56" s="48"/>
      <c r="I56" s="48"/>
      <c r="J56" s="49"/>
    </row>
    <row r="57" spans="2:11" ht="15" customHeight="1" x14ac:dyDescent="0.25">
      <c r="B57" s="50"/>
      <c r="C57" s="51" t="s">
        <v>202</v>
      </c>
      <c r="D57" s="52"/>
      <c r="E57" s="52"/>
      <c r="F57" s="88" t="str">
        <f>IF(OR(_ZakPovInd=1,_ZakPovInd=5),"← Tvoje postava má nemagické povolání","")</f>
        <v/>
      </c>
      <c r="G57" s="52"/>
      <c r="H57" s="52"/>
      <c r="I57" s="52"/>
      <c r="J57" s="53"/>
    </row>
    <row r="58" spans="2:11" ht="15" customHeight="1" x14ac:dyDescent="0.25">
      <c r="B58" s="50"/>
      <c r="C58" s="27" t="s">
        <v>52</v>
      </c>
      <c r="D58" s="27"/>
      <c r="E58" s="38">
        <f ca="1">IF(_ZakPovInd=2,IF(_LVL&lt;6,OFFSET(_MagHranTab,_LVL-1,_INT-6,1,1),OFFSET(IF(_RozPovInd=1,_MagDruidTab,_MagChodTab),_LVL-6,_INT-6,1,1)),0)+IF(_ZakPovInd=3,OFFSET(_MagAlchTab,IF(_LVL&lt;=9,_LVL-1,8),_OBR-8,1,1),0)+IF(_ZakPovInd=4,OFFSET(_MagKouzTab,_LVL-1,_INT-8,1,1),0)+IF(AND(_ZakPovInd=3,_LVL&gt;9),E59,0)</f>
        <v>450</v>
      </c>
      <c r="F58" s="27"/>
      <c r="G58" s="52"/>
      <c r="H58" s="52"/>
      <c r="I58" s="52"/>
      <c r="J58" s="53"/>
      <c r="K58" s="96"/>
    </row>
    <row r="59" spans="2:11" ht="15" customHeight="1" x14ac:dyDescent="0.25">
      <c r="B59" s="50"/>
      <c r="C59" s="27" t="s">
        <v>203</v>
      </c>
      <c r="D59" s="52"/>
      <c r="E59" s="39">
        <v>0</v>
      </c>
      <c r="F59" s="52"/>
      <c r="G59" s="52"/>
      <c r="H59" s="52"/>
      <c r="I59" s="52"/>
      <c r="J59" s="53"/>
      <c r="K59" s="95" t="str">
        <f>IF(AND(_ZakPovInd=3,_LVL&gt;9),"← Tvůj alchymista je nad 9. úrovní. Kolik magů si vydestiloval navíc?.","OK")</f>
        <v>OK</v>
      </c>
    </row>
    <row r="60" spans="2:11" ht="15" customHeight="1" thickBot="1" x14ac:dyDescent="0.3">
      <c r="B60" s="56"/>
      <c r="C60" s="61"/>
      <c r="D60" s="61"/>
      <c r="E60" s="61"/>
      <c r="F60" s="61"/>
      <c r="G60" s="63"/>
      <c r="H60" s="61"/>
      <c r="I60" s="61"/>
      <c r="J60" s="62"/>
    </row>
    <row r="61" spans="2:11" ht="15" customHeight="1" x14ac:dyDescent="0.25">
      <c r="B61" s="47"/>
      <c r="C61" s="48"/>
      <c r="D61" s="48"/>
      <c r="E61" s="48"/>
      <c r="F61" s="48"/>
      <c r="G61" s="64"/>
      <c r="H61" s="48"/>
      <c r="I61" s="48"/>
      <c r="J61" s="49"/>
    </row>
    <row r="62" spans="2:11" ht="15" customHeight="1" x14ac:dyDescent="0.25">
      <c r="B62" s="50"/>
      <c r="C62" s="51" t="s">
        <v>204</v>
      </c>
      <c r="D62" s="27"/>
      <c r="E62" s="27"/>
      <c r="F62" s="52"/>
      <c r="G62" s="52"/>
      <c r="H62" s="52"/>
      <c r="I62" s="52"/>
      <c r="J62" s="53"/>
    </row>
    <row r="63" spans="2:11" ht="15" customHeight="1" x14ac:dyDescent="0.2">
      <c r="B63" s="50"/>
      <c r="C63" s="27" t="s">
        <v>76</v>
      </c>
      <c r="D63" s="38">
        <f ca="1">_NOS</f>
        <v>390</v>
      </c>
      <c r="E63" s="52" t="s">
        <v>201</v>
      </c>
      <c r="F63" s="27"/>
      <c r="G63" s="52"/>
      <c r="H63" s="52"/>
      <c r="I63" s="52"/>
      <c r="J63" s="53"/>
    </row>
    <row r="64" spans="2:11" ht="15" customHeight="1" x14ac:dyDescent="0.2">
      <c r="B64" s="50"/>
      <c r="C64" s="52"/>
      <c r="D64" s="52"/>
      <c r="E64" s="52"/>
      <c r="F64" s="52"/>
      <c r="G64" s="52"/>
      <c r="H64" s="52"/>
      <c r="I64" s="52"/>
      <c r="J64" s="53"/>
    </row>
    <row r="65" spans="2:11" ht="15" customHeight="1" x14ac:dyDescent="0.25">
      <c r="B65" s="50"/>
      <c r="C65" s="52"/>
      <c r="D65" s="65" t="s">
        <v>59</v>
      </c>
      <c r="E65" s="65" t="s">
        <v>60</v>
      </c>
      <c r="F65" s="52"/>
      <c r="G65" s="52"/>
      <c r="H65" s="52"/>
      <c r="I65" s="52"/>
      <c r="J65" s="53"/>
    </row>
    <row r="66" spans="2:11" ht="15" customHeight="1" x14ac:dyDescent="0.2">
      <c r="B66" s="50"/>
      <c r="C66" s="27" t="s">
        <v>82</v>
      </c>
      <c r="D66" s="38">
        <f ca="1">_POH</f>
        <v>14</v>
      </c>
      <c r="E66" s="38">
        <f ca="1">_BPOH</f>
        <v>1</v>
      </c>
      <c r="F66" s="52"/>
      <c r="G66" s="52"/>
      <c r="H66" s="52"/>
      <c r="I66" s="52"/>
      <c r="J66" s="53"/>
    </row>
    <row r="67" spans="2:11" ht="15" customHeight="1" x14ac:dyDescent="0.2">
      <c r="B67" s="50"/>
      <c r="C67" s="52"/>
      <c r="D67" s="52"/>
      <c r="E67" s="52"/>
      <c r="F67" s="52"/>
      <c r="G67" s="52"/>
      <c r="H67" s="52"/>
      <c r="I67" s="52"/>
      <c r="J67" s="53"/>
    </row>
    <row r="68" spans="2:11" ht="15" customHeight="1" x14ac:dyDescent="0.2">
      <c r="B68" s="50"/>
      <c r="C68" s="27" t="s">
        <v>86</v>
      </c>
      <c r="D68" s="27"/>
      <c r="E68" s="27"/>
      <c r="F68" s="38">
        <f ca="1">_BINT+IF(_ZakPovInd=5,_BOBR,0)</f>
        <v>-3</v>
      </c>
      <c r="G68" s="52"/>
      <c r="H68" s="52"/>
      <c r="I68" s="52"/>
      <c r="J68" s="53"/>
      <c r="K68" s="94"/>
    </row>
    <row r="69" spans="2:11" s="24" customFormat="1" ht="15" customHeight="1" x14ac:dyDescent="0.2">
      <c r="B69" s="66"/>
      <c r="C69" s="27" t="s">
        <v>85</v>
      </c>
      <c r="D69" s="27"/>
      <c r="E69" s="27"/>
      <c r="F69" s="38">
        <f ca="1">_BINT+IF(_ZakPovInd=5,_BOBR+FLOOR(_LVL/2,1),0)</f>
        <v>-3</v>
      </c>
      <c r="G69" s="25"/>
      <c r="H69" s="25"/>
      <c r="I69" s="25"/>
      <c r="J69" s="53"/>
      <c r="K69" s="94"/>
    </row>
    <row r="70" spans="2:11" ht="15" customHeight="1" x14ac:dyDescent="0.2">
      <c r="B70" s="50"/>
      <c r="C70" s="27" t="s">
        <v>83</v>
      </c>
      <c r="D70" s="27"/>
      <c r="E70" s="27"/>
      <c r="F70" s="38">
        <f ca="1">_INT+CHOOSE(_RasInd,0,0,5,0,0,5,5)+IF(_ZakPovInd=5,1,0)*IF(_LVL&lt;6,OFFSET(_ZlodTab,_LVL-1,3,1,1)+3*_BOBR,OFFSET(IF(_RozPovInd=1,_LupTab,_SicTab),_LVL-6,3,1,1)+3*_BOBR)</f>
        <v>9</v>
      </c>
      <c r="G70" s="27"/>
      <c r="H70" s="27"/>
      <c r="I70" s="52"/>
      <c r="J70" s="53"/>
    </row>
    <row r="71" spans="2:11" ht="15" customHeight="1" x14ac:dyDescent="0.2">
      <c r="B71" s="50"/>
      <c r="C71" s="27" t="s">
        <v>84</v>
      </c>
      <c r="D71" s="27"/>
      <c r="E71" s="27"/>
      <c r="F71" s="38">
        <f ca="1">FLOOR(_INT/2,1)+CHOOSE(_RasInd,5,5,0,5,0,0,0)+IF(_ZakPovInd=5,1,0)*IF(_LVL&lt;6,OFFSET(_ZlodTab,_LVL-1,2,1,1)+2*_BOBR,OFFSET(IF(_RozPovInd=1,_LupTab,_SicTab),_LVL-6,2,1,1)+2*_BOBR)</f>
        <v>2</v>
      </c>
      <c r="G71" s="27"/>
      <c r="H71" s="27"/>
      <c r="I71" s="27"/>
      <c r="J71" s="54"/>
      <c r="K71" s="94"/>
    </row>
    <row r="72" spans="2:11" ht="15" customHeight="1" thickBot="1" x14ac:dyDescent="0.25">
      <c r="B72" s="50"/>
      <c r="C72" s="27"/>
      <c r="D72" s="27"/>
      <c r="E72" s="27"/>
      <c r="F72" s="27"/>
      <c r="G72" s="27"/>
      <c r="H72" s="27"/>
      <c r="I72" s="27"/>
      <c r="J72" s="54"/>
      <c r="K72" s="94"/>
    </row>
    <row r="73" spans="2:11" ht="15" customHeight="1" x14ac:dyDescent="0.2">
      <c r="B73" s="47"/>
      <c r="C73" s="59"/>
      <c r="D73" s="59"/>
      <c r="E73" s="59"/>
      <c r="F73" s="59"/>
      <c r="G73" s="59"/>
      <c r="H73" s="59"/>
      <c r="I73" s="59"/>
      <c r="J73" s="60"/>
      <c r="K73" s="94"/>
    </row>
    <row r="74" spans="2:11" ht="15" customHeight="1" x14ac:dyDescent="0.25">
      <c r="B74" s="50"/>
      <c r="C74" s="73" t="s">
        <v>205</v>
      </c>
      <c r="D74" s="27"/>
      <c r="E74" s="27"/>
      <c r="F74" s="27"/>
      <c r="G74" s="27"/>
      <c r="H74" s="52"/>
      <c r="I74" s="27"/>
      <c r="J74" s="54"/>
      <c r="K74" s="94"/>
    </row>
    <row r="75" spans="2:11" ht="15" customHeight="1" x14ac:dyDescent="0.2">
      <c r="B75" s="50"/>
      <c r="C75" s="27"/>
      <c r="D75" s="27"/>
      <c r="E75" s="30">
        <v>4</v>
      </c>
      <c r="F75" s="27"/>
      <c r="G75" s="27"/>
      <c r="H75" s="27"/>
      <c r="I75" s="27"/>
      <c r="J75" s="54"/>
      <c r="K75" s="94"/>
    </row>
    <row r="76" spans="2:11" ht="15" customHeight="1" x14ac:dyDescent="0.25">
      <c r="B76" s="50"/>
      <c r="C76" s="74" t="s">
        <v>190</v>
      </c>
      <c r="D76" s="30">
        <f>CHOOSE(_ZakPovInd,1,IF(E75&gt;5,0,1),IF(E75&gt;4,0,1),IF(E75&gt;1,0,1),IF(E75&gt;3,0,1))</f>
        <v>1</v>
      </c>
      <c r="E76" s="27"/>
      <c r="F76" s="52"/>
      <c r="G76" s="52"/>
      <c r="H76" s="52"/>
      <c r="I76" s="52"/>
      <c r="J76" s="53"/>
      <c r="K76" s="95" t="str">
        <f ca="1">IF(D76,"OK",CONCATENATE("← ",OFFSET(_ZAKPOV,_ZakPovInd-1,0,1,1)," nesmí použít tuto zbroj!"))</f>
        <v>OK</v>
      </c>
    </row>
    <row r="77" spans="2:11" ht="15" customHeight="1" x14ac:dyDescent="0.2">
      <c r="B77" s="50"/>
      <c r="C77" s="74" t="s">
        <v>126</v>
      </c>
      <c r="D77" s="75" t="b">
        <v>1</v>
      </c>
      <c r="E77" s="52"/>
      <c r="F77" s="52"/>
      <c r="G77" s="52"/>
      <c r="H77" s="52"/>
      <c r="I77" s="27"/>
      <c r="J77" s="54"/>
      <c r="K77" s="94"/>
    </row>
    <row r="78" spans="2:11" ht="15" customHeight="1" x14ac:dyDescent="0.25">
      <c r="B78" s="50"/>
      <c r="C78" s="72" t="s">
        <v>127</v>
      </c>
      <c r="D78" s="30">
        <f>G81</f>
        <v>-4</v>
      </c>
      <c r="E78" s="52"/>
      <c r="F78" s="52"/>
      <c r="G78" s="52"/>
      <c r="H78" s="52"/>
      <c r="I78" s="52"/>
      <c r="J78" s="53"/>
      <c r="K78" s="95" t="str">
        <f>IF(AND(_ZbrojMag=FALSE(),_ZbrojSfera&gt;0),"← Nemagická zbroj je magická!",IF(AND(_ZbrojMag=TRUE(),_ZbrojSfera=0),"← Magická zbroj není magická!","OK"))</f>
        <v>OK</v>
      </c>
    </row>
    <row r="79" spans="2:11" ht="15" customHeight="1" x14ac:dyDescent="0.2">
      <c r="B79" s="50"/>
      <c r="C79" s="74"/>
      <c r="D79" s="27"/>
      <c r="E79" s="76"/>
      <c r="F79" s="52"/>
      <c r="G79" s="52"/>
      <c r="H79" s="52"/>
      <c r="I79" s="27"/>
      <c r="J79" s="54"/>
      <c r="K79" s="94"/>
    </row>
    <row r="80" spans="2:11" ht="15" customHeight="1" x14ac:dyDescent="0.25">
      <c r="B80" s="50"/>
      <c r="C80" s="65" t="s">
        <v>219</v>
      </c>
      <c r="D80" s="65" t="s">
        <v>212</v>
      </c>
      <c r="E80" s="65" t="s">
        <v>65</v>
      </c>
      <c r="F80" s="65" t="s">
        <v>211</v>
      </c>
      <c r="G80" s="29" t="s">
        <v>213</v>
      </c>
      <c r="H80" s="65" t="s">
        <v>220</v>
      </c>
      <c r="I80" s="29" t="s">
        <v>209</v>
      </c>
      <c r="J80" s="77"/>
      <c r="K80" s="94"/>
    </row>
    <row r="81" spans="2:11" ht="15" customHeight="1" x14ac:dyDescent="0.25">
      <c r="B81" s="50"/>
      <c r="C81" s="72" t="s">
        <v>218</v>
      </c>
      <c r="D81" s="78">
        <v>2</v>
      </c>
      <c r="E81" s="79">
        <f>_ZbrojInd</f>
        <v>4</v>
      </c>
      <c r="F81" s="79">
        <f>E81*2</f>
        <v>8</v>
      </c>
      <c r="G81" s="30">
        <f>IF(ISBLANK(D81),0,(D81-E81)*2)</f>
        <v>-4</v>
      </c>
      <c r="H81" s="80">
        <f>IF(ISBLANK(D81),E81,IF(AND(D81&gt;=E81,D81&lt;=F81),D81,E81))</f>
        <v>4</v>
      </c>
      <c r="I81" s="27" t="s">
        <v>230</v>
      </c>
      <c r="J81" s="54"/>
      <c r="K81" s="95" t="str">
        <f>IF(D81&gt;F81,"← Výsledná KZ je lepší než dovolují pravidla!","OK")</f>
        <v>OK</v>
      </c>
    </row>
    <row r="82" spans="2:11" ht="15" customHeight="1" thickBot="1" x14ac:dyDescent="0.25">
      <c r="B82" s="56"/>
      <c r="C82" s="81"/>
      <c r="D82" s="57"/>
      <c r="E82" s="82"/>
      <c r="F82" s="61"/>
      <c r="G82" s="61"/>
      <c r="H82" s="61"/>
      <c r="I82" s="57"/>
      <c r="J82" s="58"/>
      <c r="K82" s="94"/>
    </row>
    <row r="83" spans="2:11" ht="15" customHeight="1" x14ac:dyDescent="0.2">
      <c r="B83" s="47"/>
      <c r="C83" s="67"/>
      <c r="D83" s="59"/>
      <c r="E83" s="68"/>
      <c r="F83" s="48"/>
      <c r="G83" s="48"/>
      <c r="H83" s="48"/>
      <c r="I83" s="59"/>
      <c r="J83" s="60"/>
      <c r="K83" s="94"/>
    </row>
    <row r="84" spans="2:11" ht="15" customHeight="1" x14ac:dyDescent="0.25">
      <c r="B84" s="50"/>
      <c r="C84" s="69" t="s">
        <v>222</v>
      </c>
      <c r="D84" s="52"/>
      <c r="E84" s="52"/>
      <c r="F84" s="52"/>
      <c r="G84" s="52"/>
      <c r="H84" s="52"/>
      <c r="I84" s="52"/>
      <c r="J84" s="53"/>
    </row>
    <row r="85" spans="2:11" ht="15" customHeight="1" x14ac:dyDescent="0.25">
      <c r="B85" s="50"/>
      <c r="C85" s="70" t="s">
        <v>223</v>
      </c>
      <c r="D85" s="71" t="b">
        <v>1</v>
      </c>
      <c r="E85" s="52"/>
      <c r="F85" s="52"/>
      <c r="G85" s="52"/>
      <c r="H85" s="52"/>
      <c r="I85" s="27"/>
      <c r="J85" s="54"/>
      <c r="K85" s="95" t="str">
        <f ca="1">IF(AND(CHOOSE(_ZakPovInd,1,1,0,0,0)=0,_Stit),CONCATENATE("← ",OFFSET(_ZAKPOV,_ZakPovInd-1,0,1,1)," nemůže používat štít!"),"OK")</f>
        <v>← alchymista nemůže používat štít!</v>
      </c>
    </row>
    <row r="86" spans="2:11" ht="15" customHeight="1" x14ac:dyDescent="0.25">
      <c r="B86" s="50"/>
      <c r="C86" s="72" t="s">
        <v>224</v>
      </c>
      <c r="D86" s="71" t="b">
        <v>1</v>
      </c>
      <c r="E86" s="52"/>
      <c r="F86" s="52"/>
      <c r="G86" s="52"/>
      <c r="H86" s="52"/>
      <c r="I86" s="27"/>
      <c r="J86" s="54"/>
      <c r="K86" s="95" t="str">
        <f>IF(AND(_Stit=FALSE(),_StitMag=TRUE()),"← Nemáš štít a dáváš, že je magický!","OK")</f>
        <v>OK</v>
      </c>
    </row>
    <row r="87" spans="2:11" ht="15" customHeight="1" thickBot="1" x14ac:dyDescent="0.25">
      <c r="B87" s="50"/>
      <c r="C87" s="27"/>
      <c r="D87" s="27"/>
      <c r="E87" s="27"/>
      <c r="F87" s="27"/>
      <c r="G87" s="27"/>
      <c r="H87" s="27"/>
      <c r="I87" s="27"/>
      <c r="J87" s="54"/>
      <c r="K87" s="94"/>
    </row>
    <row r="88" spans="2:11" ht="15" customHeight="1" x14ac:dyDescent="0.2">
      <c r="B88" s="47"/>
      <c r="C88" s="59"/>
      <c r="D88" s="59"/>
      <c r="E88" s="59"/>
      <c r="F88" s="59"/>
      <c r="G88" s="59"/>
      <c r="H88" s="59"/>
      <c r="I88" s="59"/>
      <c r="J88" s="60"/>
      <c r="K88" s="94"/>
    </row>
    <row r="89" spans="2:11" ht="15" customHeight="1" x14ac:dyDescent="0.25">
      <c r="B89" s="50"/>
      <c r="C89" s="73" t="s">
        <v>206</v>
      </c>
      <c r="D89" s="27"/>
      <c r="E89" s="27"/>
      <c r="F89" s="27"/>
      <c r="G89" s="27"/>
      <c r="H89" s="52"/>
      <c r="I89" s="27"/>
      <c r="J89" s="54"/>
      <c r="K89" s="94"/>
    </row>
    <row r="90" spans="2:11" ht="15" customHeight="1" x14ac:dyDescent="0.2">
      <c r="B90" s="50"/>
      <c r="C90" s="27"/>
      <c r="D90" s="27"/>
      <c r="E90" s="30">
        <v>15</v>
      </c>
      <c r="F90" s="27"/>
      <c r="G90" s="27"/>
      <c r="H90" s="27"/>
      <c r="I90" s="27"/>
      <c r="J90" s="54"/>
      <c r="K90" s="94"/>
    </row>
    <row r="91" spans="2:11" ht="15" customHeight="1" x14ac:dyDescent="0.25">
      <c r="B91" s="50"/>
      <c r="C91" s="74" t="s">
        <v>190</v>
      </c>
      <c r="D91" s="30">
        <f ca="1">CHOOSE(_ZakPovInd,1,IF(OR(OFFSET(_ZbranTab,E90-1,5,1,1)&gt;2,E90=35),0,1),IF(OR(OFFSET(_ZbranTab,E90-1,5,1,1)&gt;1,E90=35),0,1),IF(OR(OFFSET(_ZbranTab,E90-1,5,1,1)&gt;1,OFFSET(_ZbranTab,E90-1,6,1,1)=1),0,1),IF(OR(OFFSET(_ZbranTab,E90-1,5,1,1)&gt;2,E90=35),0,1))</f>
        <v>1</v>
      </c>
      <c r="E91" s="27"/>
      <c r="F91" s="52"/>
      <c r="G91" s="52"/>
      <c r="H91" s="52"/>
      <c r="I91" s="52"/>
      <c r="J91" s="53"/>
      <c r="K91" s="95" t="str">
        <f ca="1">IF(D91,"OK",CONCATENATE("← ",OFFSET(_ZAKPOV,_ZakPovInd-1,0,1,1)," nesmí použít tuto zbraň!"))</f>
        <v>OK</v>
      </c>
    </row>
    <row r="92" spans="2:11" ht="15" customHeight="1" x14ac:dyDescent="0.25">
      <c r="B92" s="50"/>
      <c r="C92" s="74" t="s">
        <v>165</v>
      </c>
      <c r="D92" s="30">
        <f ca="1">IF(D91,IF(OFFSET(_Vlastnosti_Rasa,_RasInd-1,7,1,1)=E90,1,0),0)</f>
        <v>0</v>
      </c>
      <c r="E92" s="27"/>
      <c r="F92" s="52"/>
      <c r="G92" s="52"/>
      <c r="H92" s="52"/>
      <c r="I92" s="28"/>
      <c r="J92" s="55"/>
      <c r="K92" s="94"/>
    </row>
    <row r="93" spans="2:11" ht="15" customHeight="1" x14ac:dyDescent="0.2">
      <c r="B93" s="50"/>
      <c r="C93" s="74" t="s">
        <v>126</v>
      </c>
      <c r="D93" s="71" t="b">
        <v>1</v>
      </c>
      <c r="E93" s="52"/>
      <c r="F93" s="52"/>
      <c r="G93" s="52"/>
      <c r="H93" s="52"/>
      <c r="I93" s="27"/>
      <c r="J93" s="54"/>
      <c r="K93" s="94"/>
    </row>
    <row r="94" spans="2:11" ht="15" customHeight="1" x14ac:dyDescent="0.25">
      <c r="B94" s="50"/>
      <c r="C94" s="72" t="s">
        <v>127</v>
      </c>
      <c r="D94" s="30">
        <f ca="1">SUM(G97:G100)</f>
        <v>6</v>
      </c>
      <c r="E94" s="52"/>
      <c r="F94" s="52"/>
      <c r="G94" s="52"/>
      <c r="H94" s="52"/>
      <c r="I94" s="52"/>
      <c r="J94" s="53"/>
      <c r="K94" s="95" t="str">
        <f ca="1">IF(AND(_Mag1=FALSE(),_SF1&gt;0),"← Nemagická zbraň je magická!",IF(AND(_Mag1=TRUE(),_SF1=0),"← Magická zbraň není magická!","OK"))</f>
        <v>OK</v>
      </c>
    </row>
    <row r="95" spans="2:11" ht="15" customHeight="1" x14ac:dyDescent="0.25">
      <c r="B95" s="50"/>
      <c r="C95" s="27"/>
      <c r="D95" s="29"/>
      <c r="E95" s="52"/>
      <c r="F95" s="52"/>
      <c r="G95" s="52"/>
      <c r="H95" s="52"/>
      <c r="I95" s="52"/>
      <c r="J95" s="53"/>
    </row>
    <row r="96" spans="2:11" s="24" customFormat="1" ht="15" customHeight="1" x14ac:dyDescent="0.25">
      <c r="B96" s="66"/>
      <c r="C96" s="65" t="s">
        <v>214</v>
      </c>
      <c r="D96" s="65" t="s">
        <v>212</v>
      </c>
      <c r="E96" s="65" t="s">
        <v>65</v>
      </c>
      <c r="F96" s="65" t="s">
        <v>211</v>
      </c>
      <c r="G96" s="29" t="s">
        <v>213</v>
      </c>
      <c r="H96" s="65" t="s">
        <v>220</v>
      </c>
      <c r="I96" s="29" t="s">
        <v>209</v>
      </c>
      <c r="J96" s="77"/>
      <c r="K96" s="97"/>
    </row>
    <row r="97" spans="2:11" ht="15" customHeight="1" x14ac:dyDescent="0.25">
      <c r="B97" s="50"/>
      <c r="C97" s="74" t="s">
        <v>16</v>
      </c>
      <c r="D97" s="78">
        <v>6</v>
      </c>
      <c r="E97" s="79">
        <f ca="1">OFFSET(_ZbranTab,E90-1,1,1,1)</f>
        <v>5</v>
      </c>
      <c r="F97" s="79">
        <f ca="1">E97*2</f>
        <v>10</v>
      </c>
      <c r="G97" s="30">
        <f ca="1">IF(ISBLANK(D97),0,D97-E97)</f>
        <v>1</v>
      </c>
      <c r="H97" s="80">
        <f ca="1">IF(ISBLANK(D97),E97,IF(AND(D97&gt;=E97,D97&lt;=F97),D97,E97))</f>
        <v>6</v>
      </c>
      <c r="I97" s="27" t="s">
        <v>228</v>
      </c>
      <c r="J97" s="54"/>
      <c r="K97" s="95" t="str">
        <f ca="1">IF(D97&gt;F97,"← Výsledná vlastnost je lepší než dovolují pravidla!","OK")</f>
        <v>OK</v>
      </c>
    </row>
    <row r="98" spans="2:11" ht="15" customHeight="1" x14ac:dyDescent="0.25">
      <c r="B98" s="50"/>
      <c r="C98" s="74" t="s">
        <v>215</v>
      </c>
      <c r="D98" s="78">
        <v>0</v>
      </c>
      <c r="E98" s="79">
        <f ca="1">OFFSET(_ZbranTab,E90-1,2,1,1)</f>
        <v>-1</v>
      </c>
      <c r="F98" s="79">
        <f ca="1">IF(E98&lt;0,0,IF(E98=0,1,2*E98))</f>
        <v>0</v>
      </c>
      <c r="G98" s="30">
        <f ca="1">IF(ISBLANK(D98),0,CEILING((D98-E98)/2,1))</f>
        <v>1</v>
      </c>
      <c r="H98" s="80">
        <f t="shared" ref="H98:H100" ca="1" si="3">IF(ISBLANK(D98),E98,IF(AND(D98&gt;=E98,D98&lt;=F98),D98,E98))</f>
        <v>0</v>
      </c>
      <c r="I98" s="27" t="s">
        <v>229</v>
      </c>
      <c r="J98" s="54"/>
      <c r="K98" s="95" t="str">
        <f ca="1">IF(D98&gt;F98,"← Výsledná vlastnost je lepší než dovolují pravidla!","OK")</f>
        <v>OK</v>
      </c>
    </row>
    <row r="99" spans="2:11" ht="15" customHeight="1" x14ac:dyDescent="0.25">
      <c r="B99" s="50"/>
      <c r="C99" s="74" t="s">
        <v>216</v>
      </c>
      <c r="D99" s="78">
        <v>2</v>
      </c>
      <c r="E99" s="79">
        <f ca="1">OFFSET(_ZbranTab,E90-1,3,1,1)</f>
        <v>1</v>
      </c>
      <c r="F99" s="79">
        <f ca="1">IF(E99&lt;0,0,IF(E99=0,1,2*E99))</f>
        <v>2</v>
      </c>
      <c r="G99" s="30">
        <f ca="1">IF(ISBLANK(D99),0,(D99-E99)*2)</f>
        <v>2</v>
      </c>
      <c r="H99" s="80">
        <f t="shared" ca="1" si="3"/>
        <v>2</v>
      </c>
      <c r="I99" s="27" t="s">
        <v>230</v>
      </c>
      <c r="J99" s="54"/>
      <c r="K99" s="95" t="str">
        <f ca="1">IF(D99&gt;F99,"← Výsledná vlastnost je lepší než dovolují pravidla!","OK")</f>
        <v>OK</v>
      </c>
    </row>
    <row r="100" spans="2:11" ht="15" customHeight="1" x14ac:dyDescent="0.25">
      <c r="B100" s="50"/>
      <c r="C100" s="74" t="s">
        <v>52</v>
      </c>
      <c r="D100" s="78">
        <v>4</v>
      </c>
      <c r="E100" s="79">
        <v>0</v>
      </c>
      <c r="F100" s="79" t="s">
        <v>221</v>
      </c>
      <c r="G100" s="30">
        <f>IF(ISBLANK(D100),0,CEILING((D100-E100)/2,1))</f>
        <v>2</v>
      </c>
      <c r="H100" s="80">
        <f t="shared" si="3"/>
        <v>4</v>
      </c>
      <c r="I100" s="27" t="s">
        <v>231</v>
      </c>
      <c r="J100" s="54"/>
      <c r="K100" s="96"/>
    </row>
    <row r="101" spans="2:11" ht="15" customHeight="1" thickBot="1" x14ac:dyDescent="0.25">
      <c r="B101" s="56"/>
      <c r="C101" s="57"/>
      <c r="D101" s="57"/>
      <c r="E101" s="57"/>
      <c r="F101" s="57"/>
      <c r="G101" s="57"/>
      <c r="H101" s="83"/>
      <c r="I101" s="57"/>
      <c r="J101" s="58"/>
      <c r="K101" s="94"/>
    </row>
    <row r="102" spans="2:11" ht="15" customHeight="1" x14ac:dyDescent="0.2">
      <c r="B102" s="47"/>
      <c r="C102" s="59"/>
      <c r="D102" s="59"/>
      <c r="E102" s="59"/>
      <c r="F102" s="59"/>
      <c r="G102" s="59"/>
      <c r="H102" s="84"/>
      <c r="I102" s="59"/>
      <c r="J102" s="60"/>
      <c r="K102" s="94"/>
    </row>
    <row r="103" spans="2:11" ht="15" customHeight="1" x14ac:dyDescent="0.25">
      <c r="B103" s="50"/>
      <c r="C103" s="73" t="s">
        <v>210</v>
      </c>
      <c r="D103" s="27"/>
      <c r="E103" s="27"/>
      <c r="F103" s="27"/>
      <c r="G103" s="27"/>
      <c r="H103" s="80"/>
      <c r="I103" s="27"/>
      <c r="J103" s="54"/>
    </row>
    <row r="104" spans="2:11" ht="15" customHeight="1" x14ac:dyDescent="0.2">
      <c r="B104" s="50"/>
      <c r="C104" s="27"/>
      <c r="D104" s="27"/>
      <c r="E104" s="30">
        <v>5</v>
      </c>
      <c r="F104" s="27"/>
      <c r="G104" s="27"/>
      <c r="H104" s="85"/>
      <c r="I104" s="27"/>
      <c r="J104" s="54"/>
    </row>
    <row r="105" spans="2:11" ht="15" customHeight="1" x14ac:dyDescent="0.25">
      <c r="B105" s="50"/>
      <c r="C105" s="74" t="s">
        <v>190</v>
      </c>
      <c r="D105" s="30">
        <f ca="1">CHOOSE(_ZakPovInd,1,IF(OR(OFFSET(_ZbranTab,E104-1,5,1,1)&gt;2,E104=35),0,1),IF(OR(OFFSET(_ZbranTab,E104-1,5,1,1)&gt;1,E104=35),0,1),IF(OR(OFFSET(_ZbranTab,E104-1,5,1,1)&gt;1,OFFSET(_ZbranTab,E104-1,6,1,1)=1),0,1),IF(OR(OFFSET(_ZbranTab,E104-1,5,1,1)&gt;2,E104=35),0,1))</f>
        <v>1</v>
      </c>
      <c r="E105" s="27"/>
      <c r="F105" s="52"/>
      <c r="G105" s="52"/>
      <c r="H105" s="80"/>
      <c r="I105" s="52"/>
      <c r="J105" s="53"/>
      <c r="K105" s="95" t="str">
        <f ca="1">IF(D105,"OK",CONCATENATE("← ",OFFSET(_ZAKPOV,_ZakPovInd-1,0,1,1)," nesmí použít tuto zbraň!"))</f>
        <v>OK</v>
      </c>
    </row>
    <row r="106" spans="2:11" ht="15" customHeight="1" x14ac:dyDescent="0.25">
      <c r="B106" s="50"/>
      <c r="C106" s="74" t="s">
        <v>165</v>
      </c>
      <c r="D106" s="30">
        <f ca="1">IF(D105,IF(OFFSET(_Vlastnosti_Rasa,_RasInd-1,7,1,1)=E104,1,0),0)</f>
        <v>0</v>
      </c>
      <c r="E106" s="27"/>
      <c r="F106" s="52"/>
      <c r="G106" s="52"/>
      <c r="H106" s="80"/>
      <c r="I106" s="28"/>
      <c r="J106" s="55"/>
    </row>
    <row r="107" spans="2:11" ht="15" customHeight="1" x14ac:dyDescent="0.2">
      <c r="B107" s="50"/>
      <c r="C107" s="74" t="s">
        <v>126</v>
      </c>
      <c r="D107" s="71" t="b">
        <v>0</v>
      </c>
      <c r="E107" s="52"/>
      <c r="F107" s="52"/>
      <c r="G107" s="52"/>
      <c r="H107" s="80"/>
      <c r="I107" s="27"/>
      <c r="J107" s="54"/>
    </row>
    <row r="108" spans="2:11" ht="15" customHeight="1" x14ac:dyDescent="0.25">
      <c r="B108" s="50"/>
      <c r="C108" s="72" t="s">
        <v>127</v>
      </c>
      <c r="D108" s="30">
        <f>SUM(G111:G114)</f>
        <v>0</v>
      </c>
      <c r="E108" s="52"/>
      <c r="F108" s="52"/>
      <c r="G108" s="52"/>
      <c r="H108" s="80"/>
      <c r="I108" s="52"/>
      <c r="J108" s="53"/>
      <c r="K108" s="95" t="str">
        <f>IF(AND(_Mag2=FALSE(),_SF2&gt;0),"← Nemagická zbraň je magická!",IF(AND(_Mag2=TRUE(),_SF2=0),"← Magická zbraň není magická!","OK"))</f>
        <v>OK</v>
      </c>
    </row>
    <row r="109" spans="2:11" ht="15" customHeight="1" x14ac:dyDescent="0.25">
      <c r="B109" s="50"/>
      <c r="C109" s="41"/>
      <c r="D109" s="42"/>
      <c r="E109" s="42"/>
      <c r="F109" s="42"/>
      <c r="G109" s="42"/>
      <c r="H109" s="42"/>
      <c r="I109" s="25"/>
      <c r="J109" s="53"/>
    </row>
    <row r="110" spans="2:11" ht="15" customHeight="1" x14ac:dyDescent="0.25">
      <c r="B110" s="50"/>
      <c r="C110" s="65" t="s">
        <v>214</v>
      </c>
      <c r="D110" s="65" t="s">
        <v>212</v>
      </c>
      <c r="E110" s="65" t="s">
        <v>65</v>
      </c>
      <c r="F110" s="65" t="s">
        <v>211</v>
      </c>
      <c r="G110" s="29" t="s">
        <v>213</v>
      </c>
      <c r="H110" s="65" t="s">
        <v>220</v>
      </c>
      <c r="I110" s="29" t="s">
        <v>209</v>
      </c>
      <c r="J110" s="77"/>
      <c r="K110" s="97"/>
    </row>
    <row r="111" spans="2:11" ht="15" customHeight="1" x14ac:dyDescent="0.25">
      <c r="B111" s="50"/>
      <c r="C111" s="74" t="s">
        <v>16</v>
      </c>
      <c r="D111" s="78"/>
      <c r="E111" s="79">
        <f ca="1">OFFSET(_ZbranTab,E104-1,1,1,1)</f>
        <v>3</v>
      </c>
      <c r="F111" s="79">
        <f ca="1">E111*2</f>
        <v>6</v>
      </c>
      <c r="G111" s="30">
        <f>IF(ISBLANK(D111),0,D111-E111)</f>
        <v>0</v>
      </c>
      <c r="H111" s="80">
        <f t="shared" ref="H111:H114" ca="1" si="4">IF(ISBLANK(D111),E111,IF(AND(D111&gt;=E111,D111&lt;=F111),D111,E111))</f>
        <v>3</v>
      </c>
      <c r="I111" s="27" t="s">
        <v>228</v>
      </c>
      <c r="J111" s="54"/>
      <c r="K111" s="95" t="str">
        <f ca="1">IF(D111&gt;F111,"← Výsledná vlastnost je lepší než dovolují pravidla!","OK")</f>
        <v>OK</v>
      </c>
    </row>
    <row r="112" spans="2:11" ht="15" customHeight="1" x14ac:dyDescent="0.25">
      <c r="B112" s="50"/>
      <c r="C112" s="74" t="s">
        <v>215</v>
      </c>
      <c r="D112" s="78"/>
      <c r="E112" s="79">
        <f ca="1">OFFSET(_ZbranTab,E104-1,2,1,1)</f>
        <v>-2</v>
      </c>
      <c r="F112" s="79">
        <f ca="1">IF(E112&lt;0,0,IF(E112=0,1,2*E112))</f>
        <v>0</v>
      </c>
      <c r="G112" s="30">
        <f>IF(ISBLANK(D112),0,CEILING((D112-E112)/2,1))</f>
        <v>0</v>
      </c>
      <c r="H112" s="80">
        <f t="shared" ca="1" si="4"/>
        <v>-2</v>
      </c>
      <c r="I112" s="27" t="s">
        <v>229</v>
      </c>
      <c r="J112" s="54"/>
      <c r="K112" s="95" t="str">
        <f ca="1">IF(D112&gt;F112,"← Výsledná vlastnost je lepší než dovolují pravidla!","OK")</f>
        <v>OK</v>
      </c>
    </row>
    <row r="113" spans="2:11" ht="15" customHeight="1" x14ac:dyDescent="0.25">
      <c r="B113" s="50"/>
      <c r="C113" s="74" t="s">
        <v>216</v>
      </c>
      <c r="D113" s="78"/>
      <c r="E113" s="79">
        <f ca="1">OFFSET(_ZbranTab,E104-1,3,1,1)</f>
        <v>-2</v>
      </c>
      <c r="F113" s="79">
        <f ca="1">IF(E113&lt;0,0,IF(E113=0,1,2*E113))</f>
        <v>0</v>
      </c>
      <c r="G113" s="30">
        <f>IF(ISBLANK(D113),0,(D113-E113)*2)</f>
        <v>0</v>
      </c>
      <c r="H113" s="80">
        <f t="shared" ca="1" si="4"/>
        <v>-2</v>
      </c>
      <c r="I113" s="27" t="s">
        <v>230</v>
      </c>
      <c r="J113" s="54"/>
      <c r="K113" s="95" t="str">
        <f ca="1">IF(D113&gt;F113,"← Výsledná vlastnost je lepší než dovolují pravidla!","OK")</f>
        <v>OK</v>
      </c>
    </row>
    <row r="114" spans="2:11" ht="15" customHeight="1" x14ac:dyDescent="0.25">
      <c r="B114" s="50"/>
      <c r="C114" s="74" t="s">
        <v>52</v>
      </c>
      <c r="D114" s="78"/>
      <c r="E114" s="79">
        <v>0</v>
      </c>
      <c r="F114" s="79" t="s">
        <v>221</v>
      </c>
      <c r="G114" s="30">
        <f>IF(ISBLANK(D114),0,CEILING((D114-E114)/2,1))</f>
        <v>0</v>
      </c>
      <c r="H114" s="80">
        <f t="shared" si="4"/>
        <v>0</v>
      </c>
      <c r="I114" s="27" t="s">
        <v>231</v>
      </c>
      <c r="J114" s="54"/>
      <c r="K114" s="96"/>
    </row>
    <row r="115" spans="2:11" ht="15" customHeight="1" thickBot="1" x14ac:dyDescent="0.25">
      <c r="B115" s="56"/>
      <c r="C115" s="61"/>
      <c r="D115" s="61"/>
      <c r="E115" s="61"/>
      <c r="F115" s="61"/>
      <c r="G115" s="61"/>
      <c r="H115" s="86"/>
      <c r="I115" s="61"/>
      <c r="J115" s="62"/>
    </row>
    <row r="116" spans="2:11" ht="15" customHeight="1" x14ac:dyDescent="0.2">
      <c r="B116" s="47"/>
      <c r="C116" s="48"/>
      <c r="D116" s="48"/>
      <c r="E116" s="48"/>
      <c r="F116" s="48"/>
      <c r="G116" s="48"/>
      <c r="H116" s="87"/>
      <c r="I116" s="48"/>
      <c r="J116" s="49"/>
    </row>
    <row r="117" spans="2:11" ht="15" customHeight="1" x14ac:dyDescent="0.25">
      <c r="B117" s="50"/>
      <c r="C117" s="73" t="s">
        <v>217</v>
      </c>
      <c r="D117" s="27"/>
      <c r="E117" s="27"/>
      <c r="F117" s="27"/>
      <c r="G117" s="27"/>
      <c r="H117" s="80"/>
      <c r="I117" s="52"/>
      <c r="J117" s="53"/>
    </row>
    <row r="118" spans="2:11" ht="15" customHeight="1" x14ac:dyDescent="0.2">
      <c r="B118" s="50"/>
      <c r="C118" s="27"/>
      <c r="D118" s="27"/>
      <c r="E118" s="30">
        <v>16</v>
      </c>
      <c r="F118" s="27"/>
      <c r="G118" s="27"/>
      <c r="H118" s="80"/>
      <c r="I118" s="27"/>
      <c r="J118" s="54"/>
    </row>
    <row r="119" spans="2:11" ht="15" customHeight="1" x14ac:dyDescent="0.25">
      <c r="B119" s="50"/>
      <c r="C119" s="74" t="s">
        <v>190</v>
      </c>
      <c r="D119" s="30">
        <f ca="1">CHOOSE(_ZakPovInd,1,IF(OR(OFFSET(_ZbranTab,E118-1,5,1,1)&gt;2,E118=35),0,1),IF(OR(OFFSET(_ZbranTab,E118-1,5,1,1)&gt;1,E118=35),0,1),IF(OR(OFFSET(_ZbranTab,E118-1,5,1,1)&gt;1,OFFSET(_ZbranTab,E118-1,6,1,1)=1),0,1),IF(OR(OFFSET(_ZbranTab,E118-1,5,1,1)&gt;2,E118=35),0,1))</f>
        <v>1</v>
      </c>
      <c r="E119" s="27"/>
      <c r="F119" s="52"/>
      <c r="G119" s="52"/>
      <c r="H119" s="80"/>
      <c r="I119" s="52"/>
      <c r="J119" s="53"/>
      <c r="K119" s="95" t="str">
        <f ca="1">IF(D119,"OK",CONCATENATE("← ",OFFSET(_ZAKPOV,_ZakPovInd-1,0,1,1)," nesmí použít tuto zbraň!"))</f>
        <v>OK</v>
      </c>
    </row>
    <row r="120" spans="2:11" ht="15" customHeight="1" x14ac:dyDescent="0.2">
      <c r="B120" s="50"/>
      <c r="C120" s="74" t="s">
        <v>165</v>
      </c>
      <c r="D120" s="30">
        <f ca="1">IF(D119,IF(OFFSET(_Vlastnosti_Rasa,_RasInd-1,7,1,1)=E118,1,0),0)</f>
        <v>0</v>
      </c>
      <c r="E120" s="27"/>
      <c r="F120" s="52"/>
      <c r="G120" s="52"/>
      <c r="H120" s="80"/>
      <c r="I120" s="52"/>
      <c r="J120" s="53"/>
    </row>
    <row r="121" spans="2:11" ht="15" customHeight="1" x14ac:dyDescent="0.2">
      <c r="B121" s="50"/>
      <c r="C121" s="74" t="s">
        <v>126</v>
      </c>
      <c r="D121" s="71" t="b">
        <v>1</v>
      </c>
      <c r="E121" s="52"/>
      <c r="F121" s="52"/>
      <c r="G121" s="52"/>
      <c r="H121" s="80"/>
      <c r="I121" s="52"/>
      <c r="J121" s="53"/>
    </row>
    <row r="122" spans="2:11" ht="15" customHeight="1" x14ac:dyDescent="0.25">
      <c r="B122" s="50"/>
      <c r="C122" s="72" t="s">
        <v>127</v>
      </c>
      <c r="D122" s="30">
        <f ca="1">SUM(G125:G128)</f>
        <v>2</v>
      </c>
      <c r="E122" s="52"/>
      <c r="F122" s="52"/>
      <c r="G122" s="52"/>
      <c r="H122" s="80"/>
      <c r="I122" s="52"/>
      <c r="J122" s="53"/>
      <c r="K122" s="95" t="str">
        <f ca="1">IF(AND(_Mag3=FALSE(),_SF3&gt;0),"← Nemagická zbraň je magická!",IF(AND(_Mag3=TRUE(),_SF3=0),"← Magická zbraň není magická!","OK"))</f>
        <v>OK</v>
      </c>
    </row>
    <row r="123" spans="2:11" ht="15" customHeight="1" x14ac:dyDescent="0.25">
      <c r="B123" s="50"/>
      <c r="C123" s="41"/>
      <c r="D123" s="42"/>
      <c r="E123" s="42"/>
      <c r="F123" s="42"/>
      <c r="G123" s="42"/>
      <c r="H123" s="80"/>
      <c r="I123" s="42"/>
      <c r="J123" s="77"/>
    </row>
    <row r="124" spans="2:11" ht="15" customHeight="1" x14ac:dyDescent="0.25">
      <c r="B124" s="50"/>
      <c r="C124" s="65" t="s">
        <v>214</v>
      </c>
      <c r="D124" s="65" t="s">
        <v>212</v>
      </c>
      <c r="E124" s="65" t="s">
        <v>65</v>
      </c>
      <c r="F124" s="65" t="s">
        <v>211</v>
      </c>
      <c r="G124" s="29" t="s">
        <v>213</v>
      </c>
      <c r="H124" s="65" t="s">
        <v>220</v>
      </c>
      <c r="I124" s="29" t="s">
        <v>209</v>
      </c>
      <c r="J124" s="77"/>
      <c r="K124" s="97"/>
    </row>
    <row r="125" spans="2:11" ht="15" customHeight="1" x14ac:dyDescent="0.25">
      <c r="B125" s="50"/>
      <c r="C125" s="74" t="s">
        <v>16</v>
      </c>
      <c r="D125" s="78">
        <v>4</v>
      </c>
      <c r="E125" s="79">
        <f ca="1">OFFSET(_ZbranTab,E118-1,1,1,1)</f>
        <v>3</v>
      </c>
      <c r="F125" s="79">
        <f ca="1">E125*2</f>
        <v>6</v>
      </c>
      <c r="G125" s="30">
        <f ca="1">IF(ISBLANK(D125),0,D125-E125)</f>
        <v>1</v>
      </c>
      <c r="H125" s="80">
        <f t="shared" ref="H125:H128" ca="1" si="5">IF(ISBLANK(D125),E125,IF(AND(D125&gt;=E125,D125&lt;=F125),D125,E125))</f>
        <v>4</v>
      </c>
      <c r="I125" s="27" t="s">
        <v>228</v>
      </c>
      <c r="J125" s="54"/>
      <c r="K125" s="95" t="str">
        <f ca="1">IF(D125&gt;F125,"← Výsledná vlastnost je lepší než dovolují pravidla!","OK")</f>
        <v>OK</v>
      </c>
    </row>
    <row r="126" spans="2:11" ht="15" customHeight="1" x14ac:dyDescent="0.25">
      <c r="B126" s="50"/>
      <c r="C126" s="74" t="s">
        <v>215</v>
      </c>
      <c r="D126" s="78">
        <v>2</v>
      </c>
      <c r="E126" s="79">
        <f ca="1">OFFSET(_ZbranTab,E118-1,2,1,1)</f>
        <v>1</v>
      </c>
      <c r="F126" s="79">
        <f ca="1">IF(E126&lt;0,0,IF(E126=0,1,2*E126))</f>
        <v>2</v>
      </c>
      <c r="G126" s="30">
        <f ca="1">IF(ISBLANK(D126),0,CEILING((D126-E126)/2,1))</f>
        <v>1</v>
      </c>
      <c r="H126" s="80">
        <f t="shared" ca="1" si="5"/>
        <v>2</v>
      </c>
      <c r="I126" s="27" t="s">
        <v>229</v>
      </c>
      <c r="J126" s="54"/>
      <c r="K126" s="95" t="str">
        <f ca="1">IF(D126&gt;F126,"← Výsledná vlastnost je lepší než dovolují pravidla!","OK")</f>
        <v>OK</v>
      </c>
    </row>
    <row r="127" spans="2:11" ht="15" customHeight="1" x14ac:dyDescent="0.25">
      <c r="B127" s="50"/>
      <c r="C127" s="74" t="s">
        <v>216</v>
      </c>
      <c r="D127" s="78"/>
      <c r="E127" s="79">
        <f ca="1">OFFSET(_ZbranTab,E118-1,3,1,1)</f>
        <v>2</v>
      </c>
      <c r="F127" s="79">
        <f ca="1">IF(E127&lt;0,0,IF(E127=0,1,2*E127))</f>
        <v>4</v>
      </c>
      <c r="G127" s="30">
        <f>IF(ISBLANK(D127),0,(D127-E127)*2)</f>
        <v>0</v>
      </c>
      <c r="H127" s="80">
        <f t="shared" ca="1" si="5"/>
        <v>2</v>
      </c>
      <c r="I127" s="27" t="s">
        <v>230</v>
      </c>
      <c r="J127" s="54"/>
      <c r="K127" s="95" t="str">
        <f ca="1">IF(D127&gt;F127,"← Výsledná vlastnost je lepší než dovolují pravidla!","OK")</f>
        <v>OK</v>
      </c>
    </row>
    <row r="128" spans="2:11" ht="15" customHeight="1" x14ac:dyDescent="0.25">
      <c r="B128" s="50"/>
      <c r="C128" s="74" t="s">
        <v>52</v>
      </c>
      <c r="D128" s="78"/>
      <c r="E128" s="79">
        <v>0</v>
      </c>
      <c r="F128" s="79" t="s">
        <v>221</v>
      </c>
      <c r="G128" s="30">
        <f>IF(ISBLANK(D128),0,CEILING((D128-E128)/2,1))</f>
        <v>0</v>
      </c>
      <c r="H128" s="80">
        <f t="shared" si="5"/>
        <v>0</v>
      </c>
      <c r="I128" s="27" t="s">
        <v>231</v>
      </c>
      <c r="J128" s="54"/>
      <c r="K128" s="96"/>
    </row>
    <row r="129" spans="2:11" ht="15" customHeight="1" thickBot="1" x14ac:dyDescent="0.25">
      <c r="B129" s="56"/>
      <c r="C129" s="61"/>
      <c r="D129" s="61"/>
      <c r="E129" s="61"/>
      <c r="F129" s="61"/>
      <c r="G129" s="61"/>
      <c r="H129" s="61"/>
      <c r="I129" s="61"/>
      <c r="J129" s="62"/>
    </row>
    <row r="130" spans="2:11" ht="15" customHeight="1" x14ac:dyDescent="0.2">
      <c r="B130" s="47"/>
      <c r="C130" s="48"/>
      <c r="D130" s="48"/>
      <c r="E130" s="48"/>
      <c r="F130" s="48"/>
      <c r="G130" s="48"/>
      <c r="H130" s="48"/>
      <c r="I130" s="48"/>
      <c r="J130" s="49"/>
    </row>
    <row r="131" spans="2:11" ht="15" customHeight="1" x14ac:dyDescent="0.25">
      <c r="B131" s="50"/>
      <c r="C131" s="73" t="s">
        <v>225</v>
      </c>
      <c r="D131" s="27"/>
      <c r="E131" s="27"/>
      <c r="F131" s="27"/>
      <c r="G131" s="27"/>
      <c r="H131" s="80"/>
      <c r="I131" s="52"/>
      <c r="J131" s="53"/>
    </row>
    <row r="132" spans="2:11" ht="15" customHeight="1" x14ac:dyDescent="0.2">
      <c r="B132" s="50"/>
      <c r="C132" s="27"/>
      <c r="D132" s="27"/>
      <c r="E132" s="30">
        <v>1</v>
      </c>
      <c r="F132" s="27"/>
      <c r="G132" s="27"/>
      <c r="H132" s="80"/>
      <c r="I132" s="27"/>
      <c r="J132" s="54"/>
    </row>
    <row r="133" spans="2:11" ht="15" customHeight="1" x14ac:dyDescent="0.25">
      <c r="B133" s="50"/>
      <c r="C133" s="74" t="s">
        <v>190</v>
      </c>
      <c r="D133" s="30">
        <f ca="1">CHOOSE(_ZakPovInd,1,IF(OR(OFFSET(_ZbranTab,E132-1,5,1,1)&gt;2,E132=35),0,1),IF(OR(OFFSET(_ZbranTab,E132-1,5,1,1)&gt;1,E132=35),0,1),IF(OR(OFFSET(_ZbranTab,E132-1,5,1,1)&gt;1,OFFSET(_ZbranTab,E132-1,6,1,1)=1),0,1),IF(OR(OFFSET(_ZbranTab,E132-1,5,1,1)&gt;2,E132=35),0,1))</f>
        <v>1</v>
      </c>
      <c r="E133" s="27"/>
      <c r="F133" s="52"/>
      <c r="G133" s="52"/>
      <c r="H133" s="80"/>
      <c r="I133" s="52"/>
      <c r="J133" s="53"/>
      <c r="K133" s="95" t="str">
        <f ca="1">IF(D133,"OK",CONCATENATE("← ",OFFSET(_ZAKPOV,_ZakPovInd-1,0,1,1)," nesmí použít tuto zbraň!"))</f>
        <v>OK</v>
      </c>
    </row>
    <row r="134" spans="2:11" ht="15" customHeight="1" x14ac:dyDescent="0.2">
      <c r="B134" s="50"/>
      <c r="C134" s="74" t="s">
        <v>165</v>
      </c>
      <c r="D134" s="30">
        <f ca="1">IF(D133,IF(OFFSET(_Vlastnosti_Rasa,_RasInd-1,7,1,1)=E132,1,0),0)</f>
        <v>0</v>
      </c>
      <c r="E134" s="27"/>
      <c r="F134" s="52"/>
      <c r="G134" s="52"/>
      <c r="H134" s="80"/>
      <c r="I134" s="52"/>
      <c r="J134" s="53"/>
    </row>
    <row r="135" spans="2:11" ht="15" customHeight="1" x14ac:dyDescent="0.2">
      <c r="B135" s="50"/>
      <c r="C135" s="74" t="s">
        <v>126</v>
      </c>
      <c r="D135" s="71" t="b">
        <v>0</v>
      </c>
      <c r="E135" s="52"/>
      <c r="F135" s="52"/>
      <c r="G135" s="52"/>
      <c r="H135" s="80"/>
      <c r="I135" s="52"/>
      <c r="J135" s="53"/>
    </row>
    <row r="136" spans="2:11" ht="15" customHeight="1" x14ac:dyDescent="0.25">
      <c r="B136" s="50"/>
      <c r="C136" s="72" t="s">
        <v>127</v>
      </c>
      <c r="D136" s="30">
        <f>SUM(G139:G142)</f>
        <v>0</v>
      </c>
      <c r="E136" s="52"/>
      <c r="F136" s="52"/>
      <c r="G136" s="52"/>
      <c r="H136" s="80"/>
      <c r="I136" s="52"/>
      <c r="J136" s="53"/>
      <c r="K136" s="95" t="str">
        <f>IF(AND(_Mag4=FALSE(),_SF4&gt;0),"← Nemagická zbraň je magická!",IF(AND(_Mag4=TRUE(),_SF4=0),"← Magická zbraň není magická!","OK"))</f>
        <v>OK</v>
      </c>
    </row>
    <row r="137" spans="2:11" ht="15" customHeight="1" x14ac:dyDescent="0.25">
      <c r="B137" s="50"/>
      <c r="C137" s="41"/>
      <c r="D137" s="42"/>
      <c r="E137" s="42"/>
      <c r="F137" s="42"/>
      <c r="G137" s="42"/>
      <c r="H137" s="80"/>
      <c r="I137" s="42"/>
      <c r="J137" s="77"/>
    </row>
    <row r="138" spans="2:11" ht="15" customHeight="1" x14ac:dyDescent="0.25">
      <c r="B138" s="50"/>
      <c r="C138" s="65" t="s">
        <v>214</v>
      </c>
      <c r="D138" s="65" t="s">
        <v>212</v>
      </c>
      <c r="E138" s="65" t="s">
        <v>65</v>
      </c>
      <c r="F138" s="65" t="s">
        <v>211</v>
      </c>
      <c r="G138" s="29" t="s">
        <v>213</v>
      </c>
      <c r="H138" s="65" t="s">
        <v>220</v>
      </c>
      <c r="I138" s="29" t="s">
        <v>209</v>
      </c>
      <c r="J138" s="77"/>
      <c r="K138" s="97"/>
    </row>
    <row r="139" spans="2:11" ht="15" customHeight="1" x14ac:dyDescent="0.25">
      <c r="B139" s="50"/>
      <c r="C139" s="74" t="s">
        <v>16</v>
      </c>
      <c r="D139" s="78"/>
      <c r="E139" s="79">
        <f ca="1">OFFSET(_ZbranTab,E132-1,1,1,1)</f>
        <v>0</v>
      </c>
      <c r="F139" s="79">
        <f ca="1">E139*2</f>
        <v>0</v>
      </c>
      <c r="G139" s="30">
        <f>IF(ISBLANK(D139),0,D139-E139)</f>
        <v>0</v>
      </c>
      <c r="H139" s="80">
        <f t="shared" ref="H139:H142" ca="1" si="6">IF(ISBLANK(D139),E139,IF(AND(D139&gt;=E139,D139&lt;=F139),D139,E139))</f>
        <v>0</v>
      </c>
      <c r="I139" s="27" t="s">
        <v>228</v>
      </c>
      <c r="J139" s="54"/>
      <c r="K139" s="95" t="str">
        <f ca="1">IF(D139&gt;F139,"← Výsledná vlastnost je lepší než dovolují pravidla!","OK")</f>
        <v>OK</v>
      </c>
    </row>
    <row r="140" spans="2:11" ht="15" customHeight="1" x14ac:dyDescent="0.25">
      <c r="B140" s="50"/>
      <c r="C140" s="74" t="s">
        <v>215</v>
      </c>
      <c r="D140" s="78"/>
      <c r="E140" s="79">
        <f ca="1">OFFSET(_ZbranTab,E132-1,2,1,1)</f>
        <v>0</v>
      </c>
      <c r="F140" s="79">
        <f ca="1">IF(E140&lt;0,0,IF(E140=0,1,2*E140))</f>
        <v>1</v>
      </c>
      <c r="G140" s="30">
        <f>IF(ISBLANK(D140),0,CEILING((D140-E140)/2,1))</f>
        <v>0</v>
      </c>
      <c r="H140" s="80">
        <f t="shared" ca="1" si="6"/>
        <v>0</v>
      </c>
      <c r="I140" s="27" t="s">
        <v>229</v>
      </c>
      <c r="J140" s="54"/>
      <c r="K140" s="95" t="str">
        <f ca="1">IF(D140&gt;F140,"← Výsledná vlastnost je lepší než dovolují pravidla!","OK")</f>
        <v>OK</v>
      </c>
    </row>
    <row r="141" spans="2:11" ht="15" customHeight="1" x14ac:dyDescent="0.25">
      <c r="B141" s="50"/>
      <c r="C141" s="74" t="s">
        <v>216</v>
      </c>
      <c r="D141" s="78"/>
      <c r="E141" s="79">
        <f ca="1">OFFSET(_ZbranTab,E132-1,3,1,1)</f>
        <v>-3</v>
      </c>
      <c r="F141" s="79">
        <f ca="1">IF(E141&lt;0,0,IF(E141=0,1,2*E141))</f>
        <v>0</v>
      </c>
      <c r="G141" s="30">
        <f>IF(ISBLANK(D141),0,(D141-E141)*2)</f>
        <v>0</v>
      </c>
      <c r="H141" s="80">
        <f ca="1">IF(ISBLANK(D141),E141,IF(AND(D141&gt;=E141,D141&lt;=F141),D141,E141))</f>
        <v>-3</v>
      </c>
      <c r="I141" s="27" t="s">
        <v>230</v>
      </c>
      <c r="J141" s="54"/>
      <c r="K141" s="95" t="str">
        <f ca="1">IF(D141&gt;F141,"← Výsledná vlastnost je lepší než dovolují pravidla!","OK")</f>
        <v>OK</v>
      </c>
    </row>
    <row r="142" spans="2:11" ht="15" customHeight="1" x14ac:dyDescent="0.25">
      <c r="B142" s="50"/>
      <c r="C142" s="74" t="s">
        <v>52</v>
      </c>
      <c r="D142" s="78"/>
      <c r="E142" s="79">
        <v>0</v>
      </c>
      <c r="F142" s="79" t="s">
        <v>221</v>
      </c>
      <c r="G142" s="30">
        <f>IF(ISBLANK(D142),0,CEILING((D142-E142)/2,1))</f>
        <v>0</v>
      </c>
      <c r="H142" s="80">
        <f t="shared" si="6"/>
        <v>0</v>
      </c>
      <c r="I142" s="27" t="s">
        <v>231</v>
      </c>
      <c r="J142" s="54"/>
      <c r="K142" s="96"/>
    </row>
    <row r="143" spans="2:11" ht="15" customHeight="1" thickBot="1" x14ac:dyDescent="0.25">
      <c r="B143" s="56"/>
      <c r="C143" s="61"/>
      <c r="D143" s="61"/>
      <c r="E143" s="61"/>
      <c r="F143" s="61"/>
      <c r="G143" s="61"/>
      <c r="H143" s="61"/>
      <c r="I143" s="61"/>
      <c r="J143" s="62"/>
    </row>
    <row r="144" spans="2:11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</sheetData>
  <mergeCells count="6">
    <mergeCell ref="C2:I2"/>
    <mergeCell ref="D18:H23"/>
    <mergeCell ref="D9:I9"/>
    <mergeCell ref="G6:I6"/>
    <mergeCell ref="G5:I5"/>
    <mergeCell ref="G7:I7"/>
  </mergeCells>
  <conditionalFormatting sqref="D47:D54">
    <cfRule type="cellIs" dxfId="14" priority="4" operator="greaterThan">
      <formula>$E$44</formula>
    </cfRule>
  </conditionalFormatting>
  <conditionalFormatting sqref="E47:E54">
    <cfRule type="expression" dxfId="13" priority="5">
      <formula>D47&gt;$E$44</formula>
    </cfRule>
  </conditionalFormatting>
  <conditionalFormatting sqref="F47:F54">
    <cfRule type="expression" dxfId="12" priority="6">
      <formula>D47&gt;$E$44</formula>
    </cfRule>
  </conditionalFormatting>
  <conditionalFormatting sqref="D9:I11">
    <cfRule type="cellIs" dxfId="11" priority="2" operator="equal">
      <formula>"NĚKDE PŘI TVORBĚ POSTAVY NASTALA CHYBA"</formula>
    </cfRule>
  </conditionalFormatting>
  <conditionalFormatting sqref="C47:C54">
    <cfRule type="expression" dxfId="10" priority="1">
      <formula>D47&gt;$E$44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G113 G127 G99 G14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4" name="Drop Down 11">
              <controlPr defaultSize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5" name="Drop Down 12">
              <controlPr defaultSize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6" name="Drop Down 13">
              <controlPr defaultSize="0" autoLine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7" name="Drop Down 14">
              <controlPr defaultSize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8" name="Drop Down 15">
              <controlPr defaultSize="0" autoLine="0" autoPict="0">
                <anchor moveWithCells="1">
                  <from>
                    <xdr:col>2</xdr:col>
                    <xdr:colOff>0</xdr:colOff>
                    <xdr:row>74</xdr:row>
                    <xdr:rowOff>0</xdr:rowOff>
                  </from>
                  <to>
                    <xdr:col>4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9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0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84</xdr:row>
                    <xdr:rowOff>0</xdr:rowOff>
                  </from>
                  <to>
                    <xdr:col>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1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85</xdr:row>
                    <xdr:rowOff>0</xdr:rowOff>
                  </from>
                  <to>
                    <xdr:col>4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2" name="Drop Down 19">
              <controlPr defaultSize="0" autoLine="0" autoPict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4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3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4" name="Drop Down 29">
              <controlPr defaultSize="0" autoLine="0" autoPict="0">
                <anchor moveWithCells="1">
                  <from>
                    <xdr:col>2</xdr:col>
                    <xdr:colOff>0</xdr:colOff>
                    <xdr:row>103</xdr:row>
                    <xdr:rowOff>0</xdr:rowOff>
                  </from>
                  <to>
                    <xdr:col>4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5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6" name="Drop Down 35">
              <controlPr defaultSize="0" autoLine="0" autoPict="0">
                <anchor moveWithCells="1">
                  <from>
                    <xdr:col>2</xdr:col>
                    <xdr:colOff>0</xdr:colOff>
                    <xdr:row>117</xdr:row>
                    <xdr:rowOff>0</xdr:rowOff>
                  </from>
                  <to>
                    <xdr:col>4</xdr:col>
                    <xdr:colOff>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7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120</xdr:row>
                    <xdr:rowOff>0</xdr:rowOff>
                  </from>
                  <to>
                    <xdr:col>4</xdr:col>
                    <xdr:colOff>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8" name="Drop Down 41">
              <controlPr defaultSize="0" autoLine="0" autoPict="0">
                <anchor moveWithCells="1">
                  <from>
                    <xdr:col>2</xdr:col>
                    <xdr:colOff>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9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134</xdr:row>
                    <xdr:rowOff>0</xdr:rowOff>
                  </from>
                  <to>
                    <xdr:col>4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2:AH252"/>
  <sheetViews>
    <sheetView topLeftCell="O1" workbookViewId="0">
      <selection activeCell="K54" sqref="K54"/>
    </sheetView>
  </sheetViews>
  <sheetFormatPr defaultRowHeight="15" x14ac:dyDescent="0.25"/>
  <cols>
    <col min="27" max="27" width="14.140625" customWidth="1"/>
  </cols>
  <sheetData>
    <row r="2" spans="1:32" x14ac:dyDescent="0.25">
      <c r="C2" s="226" t="s">
        <v>56</v>
      </c>
      <c r="D2" s="226"/>
      <c r="E2" s="226"/>
      <c r="F2" s="226"/>
      <c r="G2" s="226"/>
      <c r="K2" s="226" t="s">
        <v>54</v>
      </c>
      <c r="L2" s="226"/>
      <c r="M2" s="226"/>
      <c r="N2" s="226"/>
      <c r="O2" s="226"/>
      <c r="Q2" s="226" t="s">
        <v>53</v>
      </c>
      <c r="R2" s="226"/>
      <c r="S2" s="226"/>
      <c r="T2" s="226"/>
      <c r="U2" s="226"/>
      <c r="W2" t="s">
        <v>61</v>
      </c>
      <c r="Y2" t="s">
        <v>63</v>
      </c>
      <c r="AA2" t="s">
        <v>346</v>
      </c>
    </row>
    <row r="3" spans="1:32" s="13" customFormat="1" x14ac:dyDescent="0.25"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  <c r="H3" s="13" t="s">
        <v>77</v>
      </c>
      <c r="I3" s="13" t="s">
        <v>78</v>
      </c>
      <c r="J3" s="13" t="s">
        <v>166</v>
      </c>
      <c r="K3" s="13" t="s">
        <v>9</v>
      </c>
      <c r="L3" s="13" t="s">
        <v>10</v>
      </c>
      <c r="M3" s="13" t="s">
        <v>11</v>
      </c>
      <c r="N3" s="13" t="s">
        <v>12</v>
      </c>
      <c r="O3" s="13" t="s">
        <v>13</v>
      </c>
      <c r="Q3" s="13" t="s">
        <v>9</v>
      </c>
      <c r="R3" s="13" t="s">
        <v>10</v>
      </c>
      <c r="S3" s="13" t="s">
        <v>11</v>
      </c>
      <c r="T3" s="13" t="s">
        <v>12</v>
      </c>
      <c r="U3" s="13" t="s">
        <v>13</v>
      </c>
    </row>
    <row r="4" spans="1:32" x14ac:dyDescent="0.25">
      <c r="A4">
        <v>1</v>
      </c>
      <c r="B4" t="s">
        <v>43</v>
      </c>
      <c r="C4">
        <v>3</v>
      </c>
      <c r="D4">
        <v>11</v>
      </c>
      <c r="E4">
        <v>8</v>
      </c>
      <c r="F4">
        <v>10</v>
      </c>
      <c r="G4">
        <v>8</v>
      </c>
      <c r="H4">
        <v>10</v>
      </c>
      <c r="I4" s="14" t="s">
        <v>79</v>
      </c>
      <c r="J4">
        <v>34</v>
      </c>
      <c r="K4">
        <v>1</v>
      </c>
      <c r="L4">
        <v>1</v>
      </c>
      <c r="M4">
        <v>1</v>
      </c>
      <c r="N4">
        <v>1</v>
      </c>
      <c r="O4">
        <v>2</v>
      </c>
      <c r="Q4">
        <v>-5</v>
      </c>
      <c r="R4">
        <v>2</v>
      </c>
      <c r="S4">
        <v>0</v>
      </c>
      <c r="T4">
        <v>-2</v>
      </c>
      <c r="U4">
        <v>3</v>
      </c>
      <c r="W4" s="14">
        <v>-5</v>
      </c>
      <c r="Y4">
        <v>1</v>
      </c>
      <c r="AA4" t="s">
        <v>347</v>
      </c>
      <c r="AB4" t="s">
        <v>355</v>
      </c>
      <c r="AC4" t="s">
        <v>356</v>
      </c>
      <c r="AD4" t="s">
        <v>357</v>
      </c>
      <c r="AE4" t="s">
        <v>358</v>
      </c>
      <c r="AF4" t="s">
        <v>359</v>
      </c>
    </row>
    <row r="5" spans="1:32" x14ac:dyDescent="0.25">
      <c r="A5">
        <v>2</v>
      </c>
      <c r="B5" t="s">
        <v>44</v>
      </c>
      <c r="C5">
        <v>5</v>
      </c>
      <c r="D5">
        <v>10</v>
      </c>
      <c r="E5">
        <v>10</v>
      </c>
      <c r="F5">
        <v>9</v>
      </c>
      <c r="G5">
        <v>7</v>
      </c>
      <c r="H5">
        <v>9</v>
      </c>
      <c r="I5" s="14" t="s">
        <v>79</v>
      </c>
      <c r="J5">
        <v>9</v>
      </c>
      <c r="K5">
        <v>1</v>
      </c>
      <c r="L5">
        <v>1</v>
      </c>
      <c r="M5">
        <v>1</v>
      </c>
      <c r="N5">
        <v>1</v>
      </c>
      <c r="O5">
        <v>1</v>
      </c>
      <c r="Q5">
        <v>-3</v>
      </c>
      <c r="R5">
        <v>1</v>
      </c>
      <c r="S5">
        <v>1</v>
      </c>
      <c r="T5">
        <v>-2</v>
      </c>
      <c r="U5">
        <v>0</v>
      </c>
      <c r="W5" s="14">
        <v>-4</v>
      </c>
      <c r="Y5">
        <v>2</v>
      </c>
      <c r="AA5" t="s">
        <v>348</v>
      </c>
      <c r="AB5">
        <v>14</v>
      </c>
      <c r="AC5">
        <v>0</v>
      </c>
      <c r="AD5">
        <v>0</v>
      </c>
      <c r="AE5">
        <v>0</v>
      </c>
      <c r="AF5">
        <v>0</v>
      </c>
    </row>
    <row r="6" spans="1:32" x14ac:dyDescent="0.25">
      <c r="A6">
        <v>3</v>
      </c>
      <c r="B6" t="s">
        <v>45</v>
      </c>
      <c r="C6">
        <v>7</v>
      </c>
      <c r="D6">
        <v>7</v>
      </c>
      <c r="E6">
        <v>12</v>
      </c>
      <c r="F6">
        <v>8</v>
      </c>
      <c r="G6">
        <v>7</v>
      </c>
      <c r="H6">
        <v>8</v>
      </c>
      <c r="I6" s="14" t="s">
        <v>79</v>
      </c>
      <c r="J6">
        <v>19</v>
      </c>
      <c r="K6">
        <v>1</v>
      </c>
      <c r="L6">
        <v>1</v>
      </c>
      <c r="M6">
        <v>1</v>
      </c>
      <c r="N6">
        <v>1</v>
      </c>
      <c r="O6">
        <v>1</v>
      </c>
      <c r="Q6">
        <v>1</v>
      </c>
      <c r="R6">
        <v>-2</v>
      </c>
      <c r="S6">
        <v>3</v>
      </c>
      <c r="T6">
        <v>-3</v>
      </c>
      <c r="U6">
        <v>-2</v>
      </c>
      <c r="W6" s="14">
        <v>-4</v>
      </c>
      <c r="Y6">
        <v>3</v>
      </c>
      <c r="AA6" t="s">
        <v>349</v>
      </c>
      <c r="AB6">
        <v>11</v>
      </c>
      <c r="AC6">
        <v>3</v>
      </c>
      <c r="AD6">
        <v>5</v>
      </c>
      <c r="AE6">
        <v>7</v>
      </c>
      <c r="AF6">
        <v>9</v>
      </c>
    </row>
    <row r="7" spans="1:32" x14ac:dyDescent="0.25">
      <c r="A7">
        <v>4</v>
      </c>
      <c r="B7" t="s">
        <v>46</v>
      </c>
      <c r="C7">
        <v>6</v>
      </c>
      <c r="D7">
        <v>10</v>
      </c>
      <c r="E7">
        <v>6</v>
      </c>
      <c r="F7">
        <v>12</v>
      </c>
      <c r="G7">
        <v>8</v>
      </c>
      <c r="H7">
        <v>12</v>
      </c>
      <c r="I7" s="14" t="s">
        <v>80</v>
      </c>
      <c r="J7">
        <v>33</v>
      </c>
      <c r="K7">
        <v>1</v>
      </c>
      <c r="L7">
        <v>1</v>
      </c>
      <c r="M7">
        <v>1</v>
      </c>
      <c r="N7">
        <v>1</v>
      </c>
      <c r="O7">
        <v>2</v>
      </c>
      <c r="Q7">
        <v>0</v>
      </c>
      <c r="R7">
        <v>1</v>
      </c>
      <c r="S7">
        <v>-4</v>
      </c>
      <c r="T7">
        <v>2</v>
      </c>
      <c r="U7">
        <v>2</v>
      </c>
      <c r="W7" s="14">
        <v>-3</v>
      </c>
      <c r="Y7">
        <v>4</v>
      </c>
      <c r="AA7" t="s">
        <v>350</v>
      </c>
      <c r="AB7">
        <v>8</v>
      </c>
      <c r="AC7">
        <v>6</v>
      </c>
      <c r="AD7">
        <v>10</v>
      </c>
      <c r="AE7">
        <v>14</v>
      </c>
      <c r="AF7">
        <v>18</v>
      </c>
    </row>
    <row r="8" spans="1:32" x14ac:dyDescent="0.25">
      <c r="A8">
        <v>5</v>
      </c>
      <c r="B8" t="s">
        <v>47</v>
      </c>
      <c r="C8">
        <v>6</v>
      </c>
      <c r="D8">
        <v>9</v>
      </c>
      <c r="E8">
        <v>9</v>
      </c>
      <c r="F8">
        <v>10</v>
      </c>
      <c r="G8">
        <v>2</v>
      </c>
      <c r="H8">
        <v>11</v>
      </c>
      <c r="I8" s="14" t="s">
        <v>80</v>
      </c>
      <c r="J8">
        <v>8</v>
      </c>
      <c r="K8">
        <v>2</v>
      </c>
      <c r="L8">
        <v>1</v>
      </c>
      <c r="M8">
        <v>1</v>
      </c>
      <c r="N8">
        <v>1</v>
      </c>
      <c r="O8">
        <v>3</v>
      </c>
      <c r="Q8">
        <v>0</v>
      </c>
      <c r="R8">
        <v>0</v>
      </c>
      <c r="S8">
        <v>0</v>
      </c>
      <c r="T8">
        <v>0</v>
      </c>
      <c r="U8">
        <v>0</v>
      </c>
      <c r="W8" s="14">
        <v>-3</v>
      </c>
      <c r="Y8">
        <v>5</v>
      </c>
      <c r="AA8" t="s">
        <v>351</v>
      </c>
      <c r="AB8">
        <v>5</v>
      </c>
      <c r="AC8">
        <v>9</v>
      </c>
      <c r="AD8">
        <v>15</v>
      </c>
      <c r="AE8">
        <v>21</v>
      </c>
      <c r="AF8">
        <v>27</v>
      </c>
    </row>
    <row r="9" spans="1:32" x14ac:dyDescent="0.25">
      <c r="A9">
        <v>6</v>
      </c>
      <c r="B9" t="s">
        <v>48</v>
      </c>
      <c r="C9">
        <v>10</v>
      </c>
      <c r="D9">
        <v>8</v>
      </c>
      <c r="E9">
        <v>11</v>
      </c>
      <c r="F9">
        <v>6</v>
      </c>
      <c r="G9">
        <v>1</v>
      </c>
      <c r="H9">
        <v>12</v>
      </c>
      <c r="I9" s="14" t="s">
        <v>80</v>
      </c>
      <c r="J9">
        <v>11</v>
      </c>
      <c r="K9">
        <v>1</v>
      </c>
      <c r="L9">
        <v>1</v>
      </c>
      <c r="M9">
        <v>1</v>
      </c>
      <c r="N9">
        <v>1</v>
      </c>
      <c r="O9">
        <v>3</v>
      </c>
      <c r="Q9">
        <v>1</v>
      </c>
      <c r="R9">
        <v>-1</v>
      </c>
      <c r="S9">
        <v>1</v>
      </c>
      <c r="T9">
        <v>0</v>
      </c>
      <c r="U9">
        <v>-2</v>
      </c>
      <c r="W9" s="14">
        <v>-2</v>
      </c>
      <c r="Y9">
        <v>6</v>
      </c>
      <c r="AA9" t="s">
        <v>352</v>
      </c>
      <c r="AB9">
        <v>2</v>
      </c>
      <c r="AC9">
        <v>12</v>
      </c>
      <c r="AD9">
        <v>20</v>
      </c>
      <c r="AE9">
        <v>28</v>
      </c>
      <c r="AF9">
        <v>36</v>
      </c>
    </row>
    <row r="10" spans="1:32" x14ac:dyDescent="0.25">
      <c r="A10">
        <v>7</v>
      </c>
      <c r="B10" t="s">
        <v>49</v>
      </c>
      <c r="C10">
        <v>11</v>
      </c>
      <c r="D10">
        <v>5</v>
      </c>
      <c r="E10">
        <v>13</v>
      </c>
      <c r="F10">
        <v>2</v>
      </c>
      <c r="G10">
        <v>1</v>
      </c>
      <c r="H10">
        <v>11</v>
      </c>
      <c r="I10" s="14" t="s">
        <v>81</v>
      </c>
      <c r="J10">
        <v>27</v>
      </c>
      <c r="K10">
        <v>1</v>
      </c>
      <c r="L10">
        <v>1</v>
      </c>
      <c r="M10">
        <v>1</v>
      </c>
      <c r="N10">
        <v>1</v>
      </c>
      <c r="O10">
        <v>2</v>
      </c>
      <c r="Q10">
        <v>3</v>
      </c>
      <c r="R10">
        <v>-4</v>
      </c>
      <c r="S10">
        <v>3</v>
      </c>
      <c r="T10">
        <v>-6</v>
      </c>
      <c r="U10">
        <v>-5</v>
      </c>
      <c r="W10" s="14">
        <v>-2</v>
      </c>
      <c r="Y10">
        <v>7</v>
      </c>
      <c r="AA10" t="s">
        <v>353</v>
      </c>
      <c r="AB10">
        <v>-1</v>
      </c>
      <c r="AC10">
        <v>15</v>
      </c>
      <c r="AD10">
        <v>25</v>
      </c>
      <c r="AE10">
        <v>35</v>
      </c>
      <c r="AF10">
        <v>45</v>
      </c>
    </row>
    <row r="11" spans="1:32" x14ac:dyDescent="0.25">
      <c r="W11" s="14">
        <v>-1</v>
      </c>
      <c r="Y11">
        <v>8</v>
      </c>
      <c r="AA11" t="s">
        <v>354</v>
      </c>
      <c r="AB11">
        <v>-4</v>
      </c>
      <c r="AC11">
        <v>18</v>
      </c>
      <c r="AD11">
        <v>30</v>
      </c>
      <c r="AE11">
        <v>42</v>
      </c>
      <c r="AF11">
        <v>54</v>
      </c>
    </row>
    <row r="12" spans="1:32" x14ac:dyDescent="0.25">
      <c r="C12" s="226" t="s">
        <v>55</v>
      </c>
      <c r="D12" s="226"/>
      <c r="E12" s="226"/>
      <c r="F12" s="226"/>
      <c r="G12" s="226"/>
      <c r="K12" s="226" t="s">
        <v>54</v>
      </c>
      <c r="L12" s="226"/>
      <c r="M12" s="226"/>
      <c r="N12" s="226"/>
      <c r="O12" s="226"/>
      <c r="Q12" t="s">
        <v>62</v>
      </c>
      <c r="W12" s="14">
        <v>-1</v>
      </c>
      <c r="Y12">
        <v>9</v>
      </c>
    </row>
    <row r="13" spans="1:32" s="13" customFormat="1" x14ac:dyDescent="0.25">
      <c r="C13" s="13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K13" s="13" t="s">
        <v>9</v>
      </c>
      <c r="L13" s="13" t="s">
        <v>10</v>
      </c>
      <c r="M13" s="13" t="s">
        <v>11</v>
      </c>
      <c r="N13" s="13" t="s">
        <v>12</v>
      </c>
      <c r="O13" s="13" t="s">
        <v>13</v>
      </c>
      <c r="R13" s="13" t="s">
        <v>65</v>
      </c>
      <c r="S13" s="13" t="s">
        <v>64</v>
      </c>
      <c r="T13" s="13" t="s">
        <v>66</v>
      </c>
      <c r="U13" s="13" t="s">
        <v>67</v>
      </c>
      <c r="W13" s="14">
        <v>0</v>
      </c>
      <c r="Y13">
        <v>10</v>
      </c>
    </row>
    <row r="14" spans="1:32" x14ac:dyDescent="0.25">
      <c r="A14">
        <v>1</v>
      </c>
      <c r="B14" t="s">
        <v>102</v>
      </c>
      <c r="C14">
        <v>13</v>
      </c>
      <c r="D14">
        <v>0</v>
      </c>
      <c r="E14">
        <v>13</v>
      </c>
      <c r="F14">
        <v>0</v>
      </c>
      <c r="G14">
        <v>0</v>
      </c>
      <c r="K14">
        <v>1</v>
      </c>
      <c r="L14">
        <v>0</v>
      </c>
      <c r="M14">
        <v>1</v>
      </c>
      <c r="N14">
        <v>0</v>
      </c>
      <c r="O14">
        <v>0</v>
      </c>
      <c r="Q14" t="s">
        <v>102</v>
      </c>
      <c r="R14">
        <v>10</v>
      </c>
      <c r="S14">
        <v>10</v>
      </c>
      <c r="T14">
        <v>0</v>
      </c>
      <c r="U14">
        <v>2</v>
      </c>
      <c r="W14" s="14">
        <v>0</v>
      </c>
      <c r="Y14">
        <v>11</v>
      </c>
    </row>
    <row r="15" spans="1:32" x14ac:dyDescent="0.25">
      <c r="A15">
        <v>2</v>
      </c>
      <c r="B15" t="s">
        <v>103</v>
      </c>
      <c r="C15">
        <v>11</v>
      </c>
      <c r="D15">
        <v>0</v>
      </c>
      <c r="E15">
        <v>0</v>
      </c>
      <c r="F15">
        <v>12</v>
      </c>
      <c r="G15">
        <v>0</v>
      </c>
      <c r="K15">
        <v>1</v>
      </c>
      <c r="L15">
        <v>0</v>
      </c>
      <c r="M15">
        <v>0</v>
      </c>
      <c r="N15">
        <v>1</v>
      </c>
      <c r="O15">
        <v>0</v>
      </c>
      <c r="Q15" t="s">
        <v>103</v>
      </c>
      <c r="R15">
        <v>8</v>
      </c>
      <c r="S15">
        <v>6</v>
      </c>
      <c r="T15">
        <v>2</v>
      </c>
      <c r="U15">
        <v>2</v>
      </c>
      <c r="W15" s="14">
        <v>0</v>
      </c>
      <c r="Y15">
        <v>12</v>
      </c>
    </row>
    <row r="16" spans="1:32" x14ac:dyDescent="0.25">
      <c r="A16">
        <v>3</v>
      </c>
      <c r="B16" t="s">
        <v>104</v>
      </c>
      <c r="C16">
        <v>0</v>
      </c>
      <c r="D16">
        <v>13</v>
      </c>
      <c r="E16">
        <v>12</v>
      </c>
      <c r="F16">
        <v>0</v>
      </c>
      <c r="G16">
        <v>0</v>
      </c>
      <c r="K16">
        <v>0</v>
      </c>
      <c r="L16">
        <v>1</v>
      </c>
      <c r="M16">
        <v>1</v>
      </c>
      <c r="N16">
        <v>0</v>
      </c>
      <c r="O16">
        <v>0</v>
      </c>
      <c r="Q16" t="s">
        <v>104</v>
      </c>
      <c r="R16">
        <v>7</v>
      </c>
      <c r="S16">
        <v>6</v>
      </c>
      <c r="T16">
        <v>1</v>
      </c>
      <c r="U16">
        <v>1</v>
      </c>
      <c r="W16" s="14">
        <v>1</v>
      </c>
      <c r="Y16">
        <v>13</v>
      </c>
    </row>
    <row r="17" spans="1:34" x14ac:dyDescent="0.25">
      <c r="A17">
        <v>4</v>
      </c>
      <c r="B17" t="s">
        <v>105</v>
      </c>
      <c r="C17">
        <v>0</v>
      </c>
      <c r="D17">
        <v>0</v>
      </c>
      <c r="E17">
        <v>0</v>
      </c>
      <c r="F17">
        <v>14</v>
      </c>
      <c r="G17">
        <v>13</v>
      </c>
      <c r="K17">
        <v>0</v>
      </c>
      <c r="L17">
        <v>0</v>
      </c>
      <c r="M17">
        <v>0</v>
      </c>
      <c r="N17">
        <v>1</v>
      </c>
      <c r="O17">
        <v>1</v>
      </c>
      <c r="Q17" t="s">
        <v>105</v>
      </c>
      <c r="R17">
        <v>6</v>
      </c>
      <c r="S17">
        <v>6</v>
      </c>
      <c r="T17">
        <v>0</v>
      </c>
      <c r="U17">
        <v>1</v>
      </c>
      <c r="W17" s="14">
        <v>1</v>
      </c>
      <c r="Y17">
        <v>14</v>
      </c>
    </row>
    <row r="18" spans="1:34" x14ac:dyDescent="0.25">
      <c r="A18">
        <v>5</v>
      </c>
      <c r="B18" t="s">
        <v>106</v>
      </c>
      <c r="C18">
        <v>0</v>
      </c>
      <c r="D18">
        <v>14</v>
      </c>
      <c r="E18">
        <v>0</v>
      </c>
      <c r="F18">
        <v>0</v>
      </c>
      <c r="G18">
        <v>12</v>
      </c>
      <c r="K18">
        <v>0</v>
      </c>
      <c r="L18">
        <v>1</v>
      </c>
      <c r="M18">
        <v>0</v>
      </c>
      <c r="N18">
        <v>0</v>
      </c>
      <c r="O18">
        <v>1</v>
      </c>
      <c r="Q18" t="s">
        <v>106</v>
      </c>
      <c r="R18">
        <v>6</v>
      </c>
      <c r="S18">
        <v>6</v>
      </c>
      <c r="T18">
        <v>0</v>
      </c>
      <c r="U18">
        <v>1</v>
      </c>
      <c r="W18" s="14">
        <v>2</v>
      </c>
      <c r="Y18">
        <v>15</v>
      </c>
    </row>
    <row r="19" spans="1:34" x14ac:dyDescent="0.25">
      <c r="W19" s="14">
        <v>2</v>
      </c>
    </row>
    <row r="20" spans="1:34" x14ac:dyDescent="0.25">
      <c r="E20" t="s">
        <v>345</v>
      </c>
      <c r="K20" t="s">
        <v>107</v>
      </c>
      <c r="W20" s="14">
        <v>3</v>
      </c>
    </row>
    <row r="21" spans="1:34" x14ac:dyDescent="0.25">
      <c r="E21" t="s">
        <v>9</v>
      </c>
      <c r="F21" t="s">
        <v>76</v>
      </c>
      <c r="K21" t="s">
        <v>108</v>
      </c>
      <c r="L21" t="s">
        <v>113</v>
      </c>
      <c r="M21" t="s">
        <v>118</v>
      </c>
      <c r="W21" s="14">
        <v>3</v>
      </c>
    </row>
    <row r="22" spans="1:34" x14ac:dyDescent="0.25">
      <c r="A22">
        <v>1</v>
      </c>
      <c r="B22" t="s">
        <v>33</v>
      </c>
      <c r="E22">
        <v>-5</v>
      </c>
      <c r="F22">
        <v>210</v>
      </c>
      <c r="K22" s="15" t="s">
        <v>109</v>
      </c>
      <c r="L22" s="15" t="s">
        <v>114</v>
      </c>
      <c r="M22">
        <v>-3</v>
      </c>
      <c r="W22" s="14">
        <v>4</v>
      </c>
    </row>
    <row r="23" spans="1:34" x14ac:dyDescent="0.25">
      <c r="A23">
        <v>2</v>
      </c>
      <c r="B23" t="s">
        <v>34</v>
      </c>
      <c r="E23">
        <v>-4</v>
      </c>
      <c r="F23">
        <f>F22+30</f>
        <v>240</v>
      </c>
      <c r="K23" s="15" t="s">
        <v>110</v>
      </c>
      <c r="L23" s="15" t="s">
        <v>115</v>
      </c>
      <c r="M23">
        <v>-2</v>
      </c>
      <c r="W23" s="14">
        <v>4</v>
      </c>
    </row>
    <row r="24" spans="1:34" x14ac:dyDescent="0.25">
      <c r="A24">
        <v>3</v>
      </c>
      <c r="B24" t="s">
        <v>35</v>
      </c>
      <c r="E24">
        <v>-3</v>
      </c>
      <c r="K24" s="15" t="s">
        <v>111</v>
      </c>
      <c r="L24" s="15" t="s">
        <v>116</v>
      </c>
      <c r="M24">
        <v>-1</v>
      </c>
      <c r="W24" s="14">
        <v>5</v>
      </c>
      <c r="AG24" s="13"/>
      <c r="AH24" s="13"/>
    </row>
    <row r="25" spans="1:34" x14ac:dyDescent="0.25">
      <c r="A25">
        <v>4</v>
      </c>
      <c r="B25" t="s">
        <v>36</v>
      </c>
      <c r="E25">
        <v>-2</v>
      </c>
      <c r="K25" s="15" t="s">
        <v>112</v>
      </c>
      <c r="L25" t="s">
        <v>117</v>
      </c>
      <c r="M25">
        <v>0</v>
      </c>
    </row>
    <row r="26" spans="1:34" x14ac:dyDescent="0.25">
      <c r="A26">
        <v>5</v>
      </c>
      <c r="B26" t="s">
        <v>37</v>
      </c>
      <c r="E26">
        <v>-1</v>
      </c>
    </row>
    <row r="27" spans="1:34" x14ac:dyDescent="0.25">
      <c r="A27">
        <v>6</v>
      </c>
      <c r="B27" t="s">
        <v>38</v>
      </c>
      <c r="E27">
        <v>0</v>
      </c>
    </row>
    <row r="28" spans="1:34" x14ac:dyDescent="0.25">
      <c r="A28">
        <v>7</v>
      </c>
      <c r="B28" t="s">
        <v>39</v>
      </c>
      <c r="E28">
        <v>1</v>
      </c>
    </row>
    <row r="29" spans="1:34" x14ac:dyDescent="0.25">
      <c r="A29">
        <v>8</v>
      </c>
      <c r="B29" t="s">
        <v>40</v>
      </c>
      <c r="E29">
        <v>2</v>
      </c>
      <c r="L29" s="17"/>
    </row>
    <row r="30" spans="1:34" x14ac:dyDescent="0.25">
      <c r="A30">
        <v>9</v>
      </c>
      <c r="B30" t="s">
        <v>41</v>
      </c>
      <c r="E30">
        <v>3</v>
      </c>
    </row>
    <row r="31" spans="1:34" x14ac:dyDescent="0.25">
      <c r="A31">
        <v>10</v>
      </c>
      <c r="B31" t="s">
        <v>42</v>
      </c>
      <c r="E31">
        <v>4</v>
      </c>
    </row>
    <row r="32" spans="1:34" x14ac:dyDescent="0.25">
      <c r="E32">
        <v>5</v>
      </c>
    </row>
    <row r="34" spans="1:34" x14ac:dyDescent="0.25">
      <c r="B34" t="s">
        <v>70</v>
      </c>
      <c r="AG34" s="13"/>
      <c r="AH34" s="13"/>
    </row>
    <row r="35" spans="1:34" x14ac:dyDescent="0.25">
      <c r="B35">
        <v>6</v>
      </c>
      <c r="C35">
        <v>7</v>
      </c>
      <c r="D35">
        <v>8</v>
      </c>
      <c r="E35">
        <v>9</v>
      </c>
      <c r="F35">
        <v>10</v>
      </c>
      <c r="G35">
        <v>11</v>
      </c>
      <c r="H35">
        <v>12</v>
      </c>
      <c r="I35">
        <v>13</v>
      </c>
      <c r="J35">
        <v>14</v>
      </c>
      <c r="K35">
        <v>15</v>
      </c>
      <c r="L35">
        <v>16</v>
      </c>
      <c r="M35">
        <v>17</v>
      </c>
      <c r="N35">
        <v>18</v>
      </c>
      <c r="O35">
        <v>19</v>
      </c>
    </row>
    <row r="36" spans="1:34" x14ac:dyDescent="0.25">
      <c r="A36">
        <v>1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</row>
    <row r="37" spans="1:34" x14ac:dyDescent="0.25">
      <c r="A37">
        <v>2</v>
      </c>
      <c r="B37">
        <v>3</v>
      </c>
      <c r="C37">
        <v>3</v>
      </c>
      <c r="D37">
        <v>3</v>
      </c>
      <c r="E37">
        <v>3</v>
      </c>
      <c r="F37">
        <v>3</v>
      </c>
      <c r="G37">
        <v>3</v>
      </c>
      <c r="H37">
        <v>3</v>
      </c>
      <c r="I37">
        <v>3</v>
      </c>
      <c r="J37">
        <v>3</v>
      </c>
      <c r="K37">
        <v>3</v>
      </c>
      <c r="L37">
        <v>3</v>
      </c>
      <c r="M37">
        <v>3</v>
      </c>
      <c r="N37">
        <v>3</v>
      </c>
      <c r="O37">
        <v>3</v>
      </c>
    </row>
    <row r="38" spans="1:34" x14ac:dyDescent="0.25">
      <c r="A38">
        <v>3</v>
      </c>
      <c r="B38">
        <v>6</v>
      </c>
      <c r="C38">
        <v>6</v>
      </c>
      <c r="D38">
        <v>6</v>
      </c>
      <c r="E38">
        <v>6</v>
      </c>
      <c r="F38">
        <v>7</v>
      </c>
      <c r="G38">
        <v>7</v>
      </c>
      <c r="H38">
        <v>7</v>
      </c>
      <c r="I38">
        <v>7</v>
      </c>
      <c r="J38">
        <v>7</v>
      </c>
      <c r="K38">
        <v>7</v>
      </c>
      <c r="L38">
        <v>8</v>
      </c>
      <c r="M38">
        <v>8</v>
      </c>
      <c r="N38">
        <v>8</v>
      </c>
      <c r="O38">
        <v>8</v>
      </c>
    </row>
    <row r="39" spans="1:34" x14ac:dyDescent="0.25">
      <c r="A39">
        <v>4</v>
      </c>
      <c r="B39">
        <v>10</v>
      </c>
      <c r="C39">
        <v>10</v>
      </c>
      <c r="D39">
        <v>10</v>
      </c>
      <c r="E39">
        <v>10</v>
      </c>
      <c r="F39">
        <v>11</v>
      </c>
      <c r="G39">
        <v>11</v>
      </c>
      <c r="H39">
        <v>11</v>
      </c>
      <c r="I39">
        <v>11</v>
      </c>
      <c r="J39">
        <v>11</v>
      </c>
      <c r="K39">
        <v>11</v>
      </c>
      <c r="L39">
        <v>12</v>
      </c>
      <c r="M39">
        <v>12</v>
      </c>
      <c r="N39">
        <v>13</v>
      </c>
      <c r="O39">
        <v>13</v>
      </c>
    </row>
    <row r="40" spans="1:34" x14ac:dyDescent="0.25">
      <c r="A40">
        <v>5</v>
      </c>
      <c r="B40">
        <v>12</v>
      </c>
      <c r="C40">
        <v>12</v>
      </c>
      <c r="D40">
        <v>13</v>
      </c>
      <c r="E40">
        <v>13</v>
      </c>
      <c r="F40">
        <v>13</v>
      </c>
      <c r="G40">
        <v>13</v>
      </c>
      <c r="H40">
        <v>14</v>
      </c>
      <c r="I40">
        <v>14</v>
      </c>
      <c r="J40">
        <v>15</v>
      </c>
      <c r="K40">
        <v>15</v>
      </c>
      <c r="L40">
        <v>15</v>
      </c>
      <c r="M40">
        <v>15</v>
      </c>
      <c r="N40">
        <v>16</v>
      </c>
      <c r="O40">
        <v>16</v>
      </c>
    </row>
    <row r="42" spans="1:34" x14ac:dyDescent="0.25">
      <c r="B42" t="s">
        <v>71</v>
      </c>
    </row>
    <row r="43" spans="1:34" x14ac:dyDescent="0.25">
      <c r="A43">
        <v>6</v>
      </c>
      <c r="B43">
        <v>18</v>
      </c>
      <c r="C43">
        <v>18</v>
      </c>
      <c r="D43">
        <v>19</v>
      </c>
      <c r="E43">
        <v>19</v>
      </c>
      <c r="F43">
        <v>19</v>
      </c>
      <c r="G43">
        <v>19</v>
      </c>
      <c r="H43">
        <v>20</v>
      </c>
      <c r="I43">
        <v>20</v>
      </c>
      <c r="J43">
        <v>22</v>
      </c>
      <c r="K43">
        <v>22</v>
      </c>
      <c r="L43">
        <v>23</v>
      </c>
      <c r="M43">
        <v>23</v>
      </c>
      <c r="N43">
        <v>24</v>
      </c>
      <c r="O43">
        <v>24</v>
      </c>
    </row>
    <row r="44" spans="1:34" x14ac:dyDescent="0.25">
      <c r="A44">
        <v>7</v>
      </c>
      <c r="B44">
        <v>22</v>
      </c>
      <c r="C44">
        <v>22</v>
      </c>
      <c r="D44">
        <v>23</v>
      </c>
      <c r="E44">
        <v>23</v>
      </c>
      <c r="F44">
        <v>23</v>
      </c>
      <c r="G44">
        <v>23</v>
      </c>
      <c r="H44">
        <v>24</v>
      </c>
      <c r="I44">
        <v>24</v>
      </c>
      <c r="J44">
        <v>25</v>
      </c>
      <c r="K44">
        <v>25</v>
      </c>
      <c r="L44">
        <v>26</v>
      </c>
      <c r="M44">
        <v>26</v>
      </c>
      <c r="N44">
        <v>26</v>
      </c>
      <c r="O44">
        <v>26</v>
      </c>
    </row>
    <row r="45" spans="1:34" x14ac:dyDescent="0.25">
      <c r="A45">
        <v>8</v>
      </c>
      <c r="B45">
        <v>26</v>
      </c>
      <c r="C45">
        <v>26</v>
      </c>
      <c r="D45">
        <v>27</v>
      </c>
      <c r="E45">
        <v>27</v>
      </c>
      <c r="F45">
        <v>27</v>
      </c>
      <c r="G45">
        <v>27</v>
      </c>
      <c r="H45">
        <v>29</v>
      </c>
      <c r="I45">
        <v>29</v>
      </c>
      <c r="J45">
        <v>30</v>
      </c>
      <c r="K45">
        <v>30</v>
      </c>
      <c r="L45">
        <v>31</v>
      </c>
      <c r="M45">
        <v>31</v>
      </c>
      <c r="N45">
        <v>32</v>
      </c>
      <c r="O45">
        <v>32</v>
      </c>
    </row>
    <row r="46" spans="1:34" x14ac:dyDescent="0.25">
      <c r="A46">
        <v>9</v>
      </c>
      <c r="B46">
        <v>30</v>
      </c>
      <c r="C46">
        <v>30</v>
      </c>
      <c r="D46">
        <v>31</v>
      </c>
      <c r="E46">
        <v>31</v>
      </c>
      <c r="F46">
        <v>31</v>
      </c>
      <c r="G46">
        <v>31</v>
      </c>
      <c r="H46">
        <v>34</v>
      </c>
      <c r="I46">
        <v>34</v>
      </c>
      <c r="J46">
        <v>35</v>
      </c>
      <c r="K46">
        <v>35</v>
      </c>
      <c r="L46">
        <v>36</v>
      </c>
      <c r="M46">
        <v>36</v>
      </c>
      <c r="N46">
        <v>39</v>
      </c>
      <c r="O46">
        <v>39</v>
      </c>
    </row>
    <row r="47" spans="1:34" x14ac:dyDescent="0.25">
      <c r="A47">
        <v>10</v>
      </c>
      <c r="B47">
        <v>35</v>
      </c>
      <c r="C47">
        <v>35</v>
      </c>
      <c r="D47">
        <v>36</v>
      </c>
      <c r="E47">
        <v>36</v>
      </c>
      <c r="F47">
        <v>36</v>
      </c>
      <c r="G47">
        <v>36</v>
      </c>
      <c r="H47">
        <v>39</v>
      </c>
      <c r="I47">
        <v>39</v>
      </c>
      <c r="J47">
        <v>40</v>
      </c>
      <c r="K47">
        <v>40</v>
      </c>
      <c r="L47">
        <v>42</v>
      </c>
      <c r="M47">
        <v>42</v>
      </c>
      <c r="N47">
        <v>44</v>
      </c>
      <c r="O47">
        <v>44</v>
      </c>
    </row>
    <row r="48" spans="1:34" x14ac:dyDescent="0.25">
      <c r="A48">
        <v>11</v>
      </c>
      <c r="B48">
        <v>40</v>
      </c>
      <c r="C48">
        <v>40</v>
      </c>
      <c r="D48">
        <v>40</v>
      </c>
      <c r="E48">
        <v>40</v>
      </c>
      <c r="F48">
        <v>41</v>
      </c>
      <c r="G48">
        <v>41</v>
      </c>
      <c r="H48">
        <v>43</v>
      </c>
      <c r="I48">
        <v>43</v>
      </c>
      <c r="J48">
        <v>44</v>
      </c>
      <c r="K48">
        <v>44</v>
      </c>
      <c r="L48">
        <v>45</v>
      </c>
      <c r="M48">
        <v>45</v>
      </c>
      <c r="N48">
        <v>48</v>
      </c>
      <c r="O48">
        <v>48</v>
      </c>
    </row>
    <row r="49" spans="1:15" x14ac:dyDescent="0.25">
      <c r="A49">
        <v>12</v>
      </c>
      <c r="B49">
        <v>46</v>
      </c>
      <c r="C49">
        <v>46</v>
      </c>
      <c r="D49">
        <v>46</v>
      </c>
      <c r="E49">
        <v>46</v>
      </c>
      <c r="F49">
        <v>47</v>
      </c>
      <c r="G49">
        <v>47</v>
      </c>
      <c r="H49">
        <v>50</v>
      </c>
      <c r="I49">
        <v>50</v>
      </c>
      <c r="J49">
        <v>50</v>
      </c>
      <c r="K49">
        <v>50</v>
      </c>
      <c r="L49">
        <v>53</v>
      </c>
      <c r="M49">
        <v>53</v>
      </c>
      <c r="N49">
        <v>55</v>
      </c>
      <c r="O49">
        <v>55</v>
      </c>
    </row>
    <row r="50" spans="1:15" x14ac:dyDescent="0.25">
      <c r="A50">
        <v>13</v>
      </c>
      <c r="B50">
        <v>50</v>
      </c>
      <c r="C50">
        <v>50</v>
      </c>
      <c r="D50">
        <v>50</v>
      </c>
      <c r="E50">
        <v>50</v>
      </c>
      <c r="F50">
        <v>51</v>
      </c>
      <c r="G50">
        <v>51</v>
      </c>
      <c r="H50">
        <v>55</v>
      </c>
      <c r="I50">
        <v>55</v>
      </c>
      <c r="J50">
        <v>55</v>
      </c>
      <c r="K50">
        <v>55</v>
      </c>
      <c r="L50">
        <v>58</v>
      </c>
      <c r="M50">
        <v>58</v>
      </c>
      <c r="N50">
        <v>61</v>
      </c>
      <c r="O50">
        <v>61</v>
      </c>
    </row>
    <row r="51" spans="1:15" x14ac:dyDescent="0.25">
      <c r="A51">
        <v>14</v>
      </c>
      <c r="B51">
        <v>56</v>
      </c>
      <c r="C51">
        <v>56</v>
      </c>
      <c r="D51">
        <v>57</v>
      </c>
      <c r="E51">
        <v>57</v>
      </c>
      <c r="F51">
        <v>59</v>
      </c>
      <c r="G51">
        <v>59</v>
      </c>
      <c r="H51">
        <v>62</v>
      </c>
      <c r="I51">
        <v>62</v>
      </c>
      <c r="J51">
        <v>63</v>
      </c>
      <c r="K51">
        <v>63</v>
      </c>
      <c r="L51">
        <v>66</v>
      </c>
      <c r="M51">
        <v>66</v>
      </c>
      <c r="N51">
        <v>70</v>
      </c>
      <c r="O51">
        <v>70</v>
      </c>
    </row>
    <row r="52" spans="1:15" x14ac:dyDescent="0.25">
      <c r="A52">
        <v>15</v>
      </c>
      <c r="B52">
        <v>62</v>
      </c>
      <c r="C52">
        <v>62</v>
      </c>
      <c r="D52">
        <v>62</v>
      </c>
      <c r="E52">
        <v>62</v>
      </c>
      <c r="F52">
        <v>64</v>
      </c>
      <c r="G52">
        <v>64</v>
      </c>
      <c r="H52">
        <v>69</v>
      </c>
      <c r="I52">
        <v>69</v>
      </c>
      <c r="J52">
        <v>69</v>
      </c>
      <c r="K52">
        <v>69</v>
      </c>
      <c r="L52">
        <v>71</v>
      </c>
      <c r="M52">
        <v>71</v>
      </c>
      <c r="N52">
        <v>76</v>
      </c>
      <c r="O52">
        <v>76</v>
      </c>
    </row>
    <row r="54" spans="1:15" x14ac:dyDescent="0.25">
      <c r="B54" t="s">
        <v>72</v>
      </c>
    </row>
    <row r="55" spans="1:15" x14ac:dyDescent="0.25">
      <c r="A55">
        <v>6</v>
      </c>
      <c r="B55">
        <v>15</v>
      </c>
      <c r="C55">
        <v>15</v>
      </c>
      <c r="D55">
        <v>16</v>
      </c>
      <c r="E55">
        <v>16</v>
      </c>
      <c r="F55">
        <v>16</v>
      </c>
      <c r="G55">
        <v>16</v>
      </c>
      <c r="H55">
        <v>17</v>
      </c>
      <c r="I55">
        <v>17</v>
      </c>
      <c r="J55">
        <v>18</v>
      </c>
      <c r="K55">
        <v>18</v>
      </c>
      <c r="L55">
        <v>19</v>
      </c>
      <c r="M55">
        <v>19</v>
      </c>
      <c r="N55">
        <v>20</v>
      </c>
      <c r="O55">
        <v>20</v>
      </c>
    </row>
    <row r="56" spans="1:15" x14ac:dyDescent="0.25">
      <c r="A56">
        <v>7</v>
      </c>
      <c r="B56">
        <v>18</v>
      </c>
      <c r="C56">
        <v>18</v>
      </c>
      <c r="D56">
        <v>19</v>
      </c>
      <c r="E56">
        <v>19</v>
      </c>
      <c r="F56">
        <v>19</v>
      </c>
      <c r="G56">
        <v>19</v>
      </c>
      <c r="H56">
        <v>20</v>
      </c>
      <c r="I56">
        <v>20</v>
      </c>
      <c r="J56">
        <v>21</v>
      </c>
      <c r="K56">
        <v>21</v>
      </c>
      <c r="L56">
        <v>22</v>
      </c>
      <c r="M56">
        <v>22</v>
      </c>
      <c r="N56">
        <v>22</v>
      </c>
      <c r="O56">
        <v>22</v>
      </c>
    </row>
    <row r="57" spans="1:15" x14ac:dyDescent="0.25">
      <c r="A57">
        <v>8</v>
      </c>
      <c r="B57">
        <v>21</v>
      </c>
      <c r="C57">
        <v>21</v>
      </c>
      <c r="D57">
        <v>22</v>
      </c>
      <c r="E57">
        <v>22</v>
      </c>
      <c r="F57">
        <v>22</v>
      </c>
      <c r="G57">
        <v>22</v>
      </c>
      <c r="H57">
        <v>23</v>
      </c>
      <c r="I57">
        <v>23</v>
      </c>
      <c r="J57">
        <v>24</v>
      </c>
      <c r="K57">
        <v>24</v>
      </c>
      <c r="L57">
        <v>25</v>
      </c>
      <c r="M57">
        <v>25</v>
      </c>
      <c r="N57">
        <v>25</v>
      </c>
      <c r="O57">
        <v>25</v>
      </c>
    </row>
    <row r="58" spans="1:15" x14ac:dyDescent="0.25">
      <c r="A58">
        <v>9</v>
      </c>
      <c r="B58">
        <v>24</v>
      </c>
      <c r="C58">
        <v>24</v>
      </c>
      <c r="D58">
        <v>25</v>
      </c>
      <c r="E58">
        <v>25</v>
      </c>
      <c r="F58">
        <v>25</v>
      </c>
      <c r="G58">
        <v>25</v>
      </c>
      <c r="H58">
        <v>27</v>
      </c>
      <c r="I58">
        <v>27</v>
      </c>
      <c r="J58">
        <v>28</v>
      </c>
      <c r="K58">
        <v>28</v>
      </c>
      <c r="L58">
        <v>29</v>
      </c>
      <c r="M58">
        <v>29</v>
      </c>
      <c r="N58">
        <v>31</v>
      </c>
      <c r="O58">
        <v>31</v>
      </c>
    </row>
    <row r="59" spans="1:15" x14ac:dyDescent="0.25">
      <c r="A59">
        <v>10</v>
      </c>
      <c r="B59">
        <v>27</v>
      </c>
      <c r="C59">
        <v>27</v>
      </c>
      <c r="D59">
        <v>28</v>
      </c>
      <c r="E59">
        <v>28</v>
      </c>
      <c r="F59">
        <v>28</v>
      </c>
      <c r="G59">
        <v>28</v>
      </c>
      <c r="H59">
        <v>30</v>
      </c>
      <c r="I59">
        <v>30</v>
      </c>
      <c r="J59">
        <v>31</v>
      </c>
      <c r="K59">
        <v>31</v>
      </c>
      <c r="L59">
        <v>32</v>
      </c>
      <c r="M59">
        <v>32</v>
      </c>
      <c r="N59">
        <v>34</v>
      </c>
      <c r="O59">
        <v>34</v>
      </c>
    </row>
    <row r="60" spans="1:15" x14ac:dyDescent="0.25">
      <c r="A60">
        <v>11</v>
      </c>
      <c r="B60">
        <v>31</v>
      </c>
      <c r="C60">
        <v>31</v>
      </c>
      <c r="D60">
        <v>31</v>
      </c>
      <c r="E60">
        <v>31</v>
      </c>
      <c r="F60">
        <v>31</v>
      </c>
      <c r="G60">
        <v>31</v>
      </c>
      <c r="H60">
        <v>33</v>
      </c>
      <c r="I60">
        <v>33</v>
      </c>
      <c r="J60">
        <v>34</v>
      </c>
      <c r="K60">
        <v>34</v>
      </c>
      <c r="L60">
        <v>35</v>
      </c>
      <c r="M60">
        <v>35</v>
      </c>
      <c r="N60">
        <v>37</v>
      </c>
      <c r="O60">
        <v>37</v>
      </c>
    </row>
    <row r="61" spans="1:15" x14ac:dyDescent="0.25">
      <c r="A61">
        <v>12</v>
      </c>
      <c r="B61">
        <v>34</v>
      </c>
      <c r="C61">
        <v>34</v>
      </c>
      <c r="D61">
        <v>34</v>
      </c>
      <c r="E61">
        <v>34</v>
      </c>
      <c r="F61">
        <v>34</v>
      </c>
      <c r="G61">
        <v>34</v>
      </c>
      <c r="H61">
        <v>37</v>
      </c>
      <c r="I61">
        <v>37</v>
      </c>
      <c r="J61">
        <v>37</v>
      </c>
      <c r="K61">
        <v>37</v>
      </c>
      <c r="L61">
        <v>39</v>
      </c>
      <c r="M61">
        <v>39</v>
      </c>
      <c r="N61">
        <v>41</v>
      </c>
      <c r="O61">
        <v>41</v>
      </c>
    </row>
    <row r="62" spans="1:15" x14ac:dyDescent="0.25">
      <c r="A62">
        <v>13</v>
      </c>
      <c r="B62">
        <v>37</v>
      </c>
      <c r="C62">
        <v>37</v>
      </c>
      <c r="D62">
        <v>37</v>
      </c>
      <c r="E62">
        <v>37</v>
      </c>
      <c r="F62">
        <v>38</v>
      </c>
      <c r="G62">
        <v>38</v>
      </c>
      <c r="H62">
        <v>41</v>
      </c>
      <c r="I62">
        <v>41</v>
      </c>
      <c r="J62">
        <v>41</v>
      </c>
      <c r="K62">
        <v>41</v>
      </c>
      <c r="L62">
        <v>43</v>
      </c>
      <c r="M62">
        <v>43</v>
      </c>
      <c r="N62">
        <v>45</v>
      </c>
      <c r="O62">
        <v>45</v>
      </c>
    </row>
    <row r="63" spans="1:15" x14ac:dyDescent="0.25">
      <c r="A63">
        <v>14</v>
      </c>
      <c r="B63">
        <v>40</v>
      </c>
      <c r="C63">
        <v>40</v>
      </c>
      <c r="D63">
        <v>40</v>
      </c>
      <c r="E63">
        <v>40</v>
      </c>
      <c r="F63">
        <v>42</v>
      </c>
      <c r="G63">
        <v>42</v>
      </c>
      <c r="H63">
        <v>45</v>
      </c>
      <c r="I63">
        <v>45</v>
      </c>
      <c r="J63">
        <v>45</v>
      </c>
      <c r="K63">
        <v>45</v>
      </c>
      <c r="L63">
        <v>47</v>
      </c>
      <c r="M63">
        <v>47</v>
      </c>
      <c r="N63">
        <v>50</v>
      </c>
      <c r="O63">
        <v>50</v>
      </c>
    </row>
    <row r="64" spans="1:15" x14ac:dyDescent="0.25">
      <c r="A64">
        <v>15</v>
      </c>
      <c r="B64">
        <v>44</v>
      </c>
      <c r="C64">
        <v>44</v>
      </c>
      <c r="D64">
        <v>44</v>
      </c>
      <c r="E64">
        <v>44</v>
      </c>
      <c r="F64">
        <v>46</v>
      </c>
      <c r="G64">
        <v>46</v>
      </c>
      <c r="H64">
        <v>49</v>
      </c>
      <c r="I64">
        <v>49</v>
      </c>
      <c r="J64">
        <v>49</v>
      </c>
      <c r="K64">
        <v>49</v>
      </c>
      <c r="L64">
        <v>51</v>
      </c>
      <c r="M64">
        <v>51</v>
      </c>
      <c r="N64">
        <v>54</v>
      </c>
      <c r="O64">
        <v>54</v>
      </c>
    </row>
    <row r="66" spans="1:16" x14ac:dyDescent="0.25">
      <c r="B66" t="s">
        <v>73</v>
      </c>
    </row>
    <row r="67" spans="1:16" x14ac:dyDescent="0.25">
      <c r="B67">
        <v>8</v>
      </c>
      <c r="C67">
        <v>9</v>
      </c>
      <c r="D67">
        <v>10</v>
      </c>
      <c r="E67">
        <v>11</v>
      </c>
      <c r="F67">
        <v>12</v>
      </c>
      <c r="G67">
        <v>13</v>
      </c>
      <c r="H67">
        <v>14</v>
      </c>
      <c r="I67">
        <v>15</v>
      </c>
      <c r="J67">
        <v>16</v>
      </c>
      <c r="K67">
        <v>17</v>
      </c>
      <c r="L67">
        <v>18</v>
      </c>
      <c r="M67">
        <v>19</v>
      </c>
      <c r="N67">
        <v>20</v>
      </c>
      <c r="O67">
        <v>21</v>
      </c>
      <c r="P67" t="s">
        <v>74</v>
      </c>
    </row>
    <row r="68" spans="1:16" x14ac:dyDescent="0.25">
      <c r="A68">
        <v>1</v>
      </c>
      <c r="B68">
        <v>7</v>
      </c>
      <c r="C68">
        <v>7</v>
      </c>
      <c r="D68">
        <v>7</v>
      </c>
      <c r="E68">
        <v>7</v>
      </c>
      <c r="F68">
        <v>8</v>
      </c>
      <c r="G68">
        <v>8</v>
      </c>
      <c r="H68">
        <v>8</v>
      </c>
      <c r="I68">
        <v>8</v>
      </c>
      <c r="J68">
        <v>8</v>
      </c>
      <c r="K68">
        <v>8</v>
      </c>
      <c r="L68">
        <v>9</v>
      </c>
      <c r="M68">
        <v>9</v>
      </c>
      <c r="N68">
        <v>9</v>
      </c>
      <c r="O68">
        <v>9</v>
      </c>
      <c r="P68">
        <v>3</v>
      </c>
    </row>
    <row r="69" spans="1:16" x14ac:dyDescent="0.25">
      <c r="A69">
        <v>2</v>
      </c>
      <c r="B69">
        <v>10</v>
      </c>
      <c r="C69">
        <v>10</v>
      </c>
      <c r="D69">
        <v>11</v>
      </c>
      <c r="E69">
        <v>11</v>
      </c>
      <c r="F69">
        <v>12</v>
      </c>
      <c r="G69">
        <v>12</v>
      </c>
      <c r="H69">
        <v>12</v>
      </c>
      <c r="I69">
        <v>12</v>
      </c>
      <c r="J69">
        <v>12</v>
      </c>
      <c r="K69">
        <v>12</v>
      </c>
      <c r="L69">
        <v>13</v>
      </c>
      <c r="M69">
        <v>13</v>
      </c>
      <c r="N69">
        <v>14</v>
      </c>
      <c r="O69">
        <v>14</v>
      </c>
      <c r="P69">
        <v>5</v>
      </c>
    </row>
    <row r="70" spans="1:16" x14ac:dyDescent="0.25">
      <c r="A70">
        <v>3</v>
      </c>
      <c r="B70">
        <v>12</v>
      </c>
      <c r="C70">
        <v>12</v>
      </c>
      <c r="D70">
        <v>14</v>
      </c>
      <c r="E70">
        <v>14</v>
      </c>
      <c r="F70">
        <v>15</v>
      </c>
      <c r="G70">
        <v>15</v>
      </c>
      <c r="H70">
        <v>16</v>
      </c>
      <c r="I70">
        <v>16</v>
      </c>
      <c r="J70">
        <v>17</v>
      </c>
      <c r="K70">
        <v>17</v>
      </c>
      <c r="L70">
        <v>18</v>
      </c>
      <c r="M70">
        <v>18</v>
      </c>
      <c r="N70">
        <v>20</v>
      </c>
      <c r="O70">
        <v>20</v>
      </c>
      <c r="P70">
        <v>7</v>
      </c>
    </row>
    <row r="71" spans="1:16" x14ac:dyDescent="0.25">
      <c r="A71">
        <v>4</v>
      </c>
      <c r="B71">
        <v>14</v>
      </c>
      <c r="C71">
        <v>14</v>
      </c>
      <c r="D71">
        <v>17</v>
      </c>
      <c r="E71">
        <v>17</v>
      </c>
      <c r="F71">
        <v>19</v>
      </c>
      <c r="G71">
        <v>19</v>
      </c>
      <c r="H71">
        <v>20</v>
      </c>
      <c r="I71">
        <v>20</v>
      </c>
      <c r="J71">
        <v>21</v>
      </c>
      <c r="K71">
        <v>21</v>
      </c>
      <c r="L71">
        <v>23</v>
      </c>
      <c r="M71">
        <v>23</v>
      </c>
      <c r="N71">
        <v>26</v>
      </c>
      <c r="O71">
        <v>26</v>
      </c>
      <c r="P71">
        <v>9</v>
      </c>
    </row>
    <row r="72" spans="1:16" x14ac:dyDescent="0.25">
      <c r="A72">
        <v>5</v>
      </c>
      <c r="B72">
        <v>17</v>
      </c>
      <c r="C72">
        <v>17</v>
      </c>
      <c r="D72">
        <v>20</v>
      </c>
      <c r="E72">
        <v>20</v>
      </c>
      <c r="F72">
        <v>22</v>
      </c>
      <c r="G72">
        <v>22</v>
      </c>
      <c r="H72">
        <v>24</v>
      </c>
      <c r="I72">
        <v>24</v>
      </c>
      <c r="J72">
        <v>26</v>
      </c>
      <c r="K72">
        <v>26</v>
      </c>
      <c r="L72">
        <v>28</v>
      </c>
      <c r="M72">
        <v>28</v>
      </c>
      <c r="N72">
        <v>31</v>
      </c>
      <c r="O72">
        <v>31</v>
      </c>
      <c r="P72">
        <v>11</v>
      </c>
    </row>
    <row r="73" spans="1:16" x14ac:dyDescent="0.25">
      <c r="A73">
        <v>6</v>
      </c>
      <c r="B73">
        <v>19</v>
      </c>
      <c r="C73">
        <v>19</v>
      </c>
      <c r="D73">
        <v>23</v>
      </c>
      <c r="E73">
        <v>23</v>
      </c>
      <c r="F73">
        <v>26</v>
      </c>
      <c r="G73">
        <v>26</v>
      </c>
      <c r="H73">
        <v>28</v>
      </c>
      <c r="I73">
        <v>28</v>
      </c>
      <c r="J73">
        <v>30</v>
      </c>
      <c r="K73">
        <v>30</v>
      </c>
      <c r="L73">
        <v>33</v>
      </c>
      <c r="M73">
        <v>33</v>
      </c>
      <c r="N73">
        <v>37</v>
      </c>
      <c r="O73">
        <v>37</v>
      </c>
      <c r="P73">
        <v>14</v>
      </c>
    </row>
    <row r="74" spans="1:16" x14ac:dyDescent="0.25">
      <c r="A74">
        <v>7</v>
      </c>
      <c r="B74">
        <v>21</v>
      </c>
      <c r="C74">
        <v>21</v>
      </c>
      <c r="D74">
        <v>26</v>
      </c>
      <c r="E74">
        <v>26</v>
      </c>
      <c r="F74">
        <v>29</v>
      </c>
      <c r="G74">
        <v>29</v>
      </c>
      <c r="H74">
        <v>32</v>
      </c>
      <c r="I74">
        <v>32</v>
      </c>
      <c r="J74">
        <v>35</v>
      </c>
      <c r="K74">
        <v>35</v>
      </c>
      <c r="L74">
        <v>38</v>
      </c>
      <c r="M74">
        <v>38</v>
      </c>
      <c r="N74">
        <v>43</v>
      </c>
      <c r="O74">
        <v>43</v>
      </c>
      <c r="P74">
        <v>17</v>
      </c>
    </row>
    <row r="75" spans="1:16" x14ac:dyDescent="0.25">
      <c r="A75">
        <v>8</v>
      </c>
      <c r="B75">
        <v>24</v>
      </c>
      <c r="C75">
        <v>24</v>
      </c>
      <c r="D75">
        <v>29</v>
      </c>
      <c r="E75">
        <v>29</v>
      </c>
      <c r="F75">
        <v>33</v>
      </c>
      <c r="G75">
        <v>33</v>
      </c>
      <c r="H75">
        <v>36</v>
      </c>
      <c r="I75">
        <v>36</v>
      </c>
      <c r="J75">
        <v>39</v>
      </c>
      <c r="K75">
        <v>39</v>
      </c>
      <c r="L75">
        <v>43</v>
      </c>
      <c r="M75">
        <v>43</v>
      </c>
      <c r="N75">
        <v>48</v>
      </c>
      <c r="O75">
        <v>48</v>
      </c>
      <c r="P75">
        <v>20</v>
      </c>
    </row>
    <row r="76" spans="1:16" x14ac:dyDescent="0.25">
      <c r="A76">
        <v>9</v>
      </c>
      <c r="B76">
        <v>26</v>
      </c>
      <c r="C76">
        <v>26</v>
      </c>
      <c r="D76">
        <v>32</v>
      </c>
      <c r="E76">
        <v>32</v>
      </c>
      <c r="F76">
        <v>36</v>
      </c>
      <c r="G76">
        <v>36</v>
      </c>
      <c r="H76">
        <v>40</v>
      </c>
      <c r="I76">
        <v>40</v>
      </c>
      <c r="J76">
        <v>44</v>
      </c>
      <c r="K76">
        <v>44</v>
      </c>
      <c r="L76">
        <v>48</v>
      </c>
      <c r="M76">
        <v>48</v>
      </c>
      <c r="N76">
        <v>54</v>
      </c>
      <c r="O76">
        <v>54</v>
      </c>
      <c r="P76">
        <v>23</v>
      </c>
    </row>
    <row r="77" spans="1:16" x14ac:dyDescent="0.25">
      <c r="A77">
        <v>10</v>
      </c>
      <c r="B77">
        <v>27</v>
      </c>
      <c r="C77">
        <v>27</v>
      </c>
      <c r="D77">
        <v>35</v>
      </c>
      <c r="E77">
        <v>35</v>
      </c>
      <c r="F77">
        <v>39</v>
      </c>
      <c r="G77">
        <v>39</v>
      </c>
      <c r="H77">
        <v>44</v>
      </c>
      <c r="I77">
        <v>44</v>
      </c>
      <c r="J77">
        <v>48</v>
      </c>
      <c r="K77">
        <v>48</v>
      </c>
      <c r="L77">
        <v>53</v>
      </c>
      <c r="M77">
        <v>53</v>
      </c>
      <c r="N77">
        <v>60</v>
      </c>
      <c r="O77">
        <v>60</v>
      </c>
      <c r="P77">
        <v>26</v>
      </c>
    </row>
    <row r="78" spans="1:16" x14ac:dyDescent="0.25">
      <c r="A78">
        <v>11</v>
      </c>
      <c r="B78">
        <v>29</v>
      </c>
      <c r="C78">
        <v>29</v>
      </c>
      <c r="D78">
        <v>37</v>
      </c>
      <c r="E78">
        <v>37</v>
      </c>
      <c r="F78">
        <v>42</v>
      </c>
      <c r="G78">
        <v>42</v>
      </c>
      <c r="H78">
        <v>47</v>
      </c>
      <c r="I78">
        <v>47</v>
      </c>
      <c r="J78">
        <v>52</v>
      </c>
      <c r="K78">
        <v>52</v>
      </c>
      <c r="L78">
        <v>57</v>
      </c>
      <c r="M78">
        <v>57</v>
      </c>
      <c r="N78">
        <v>65</v>
      </c>
      <c r="O78">
        <v>65</v>
      </c>
      <c r="P78">
        <v>30</v>
      </c>
    </row>
    <row r="79" spans="1:16" x14ac:dyDescent="0.25">
      <c r="A79">
        <v>12</v>
      </c>
      <c r="B79">
        <v>30</v>
      </c>
      <c r="C79">
        <v>30</v>
      </c>
      <c r="D79">
        <v>38</v>
      </c>
      <c r="E79">
        <v>38</v>
      </c>
      <c r="F79">
        <v>44</v>
      </c>
      <c r="G79">
        <v>44</v>
      </c>
      <c r="H79">
        <v>50</v>
      </c>
      <c r="I79">
        <v>50</v>
      </c>
      <c r="J79">
        <v>56</v>
      </c>
      <c r="K79">
        <v>56</v>
      </c>
      <c r="L79">
        <v>62</v>
      </c>
      <c r="M79">
        <v>62</v>
      </c>
      <c r="N79">
        <v>70</v>
      </c>
      <c r="O79">
        <v>70</v>
      </c>
      <c r="P79">
        <v>34</v>
      </c>
    </row>
    <row r="80" spans="1:16" x14ac:dyDescent="0.25">
      <c r="A80">
        <v>13</v>
      </c>
      <c r="B80">
        <v>33</v>
      </c>
      <c r="C80">
        <v>33</v>
      </c>
      <c r="D80">
        <v>42</v>
      </c>
      <c r="E80">
        <v>42</v>
      </c>
      <c r="F80">
        <v>49</v>
      </c>
      <c r="G80">
        <v>49</v>
      </c>
      <c r="H80">
        <v>55</v>
      </c>
      <c r="I80">
        <v>55</v>
      </c>
      <c r="J80">
        <v>61</v>
      </c>
      <c r="K80">
        <v>61</v>
      </c>
      <c r="L80">
        <v>68</v>
      </c>
      <c r="M80">
        <v>68</v>
      </c>
      <c r="N80">
        <v>77</v>
      </c>
      <c r="O80">
        <v>77</v>
      </c>
      <c r="P80">
        <v>38</v>
      </c>
    </row>
    <row r="81" spans="1:16" x14ac:dyDescent="0.25">
      <c r="A81">
        <v>14</v>
      </c>
      <c r="B81">
        <v>36</v>
      </c>
      <c r="C81">
        <v>36</v>
      </c>
      <c r="D81">
        <v>45</v>
      </c>
      <c r="E81">
        <v>45</v>
      </c>
      <c r="F81">
        <v>53</v>
      </c>
      <c r="G81">
        <v>53</v>
      </c>
      <c r="H81">
        <v>60</v>
      </c>
      <c r="I81">
        <v>60</v>
      </c>
      <c r="J81">
        <v>67</v>
      </c>
      <c r="K81">
        <v>67</v>
      </c>
      <c r="L81">
        <v>75</v>
      </c>
      <c r="M81">
        <v>75</v>
      </c>
      <c r="N81">
        <v>84</v>
      </c>
      <c r="O81">
        <v>84</v>
      </c>
      <c r="P81">
        <v>42</v>
      </c>
    </row>
    <row r="82" spans="1:16" x14ac:dyDescent="0.25">
      <c r="A82">
        <v>15</v>
      </c>
      <c r="B82">
        <v>39</v>
      </c>
      <c r="C82">
        <v>39</v>
      </c>
      <c r="D82">
        <v>49</v>
      </c>
      <c r="E82">
        <v>49</v>
      </c>
      <c r="F82">
        <v>57</v>
      </c>
      <c r="G82">
        <v>57</v>
      </c>
      <c r="H82">
        <v>65</v>
      </c>
      <c r="I82">
        <v>65</v>
      </c>
      <c r="J82">
        <v>73</v>
      </c>
      <c r="K82">
        <v>73</v>
      </c>
      <c r="L82">
        <v>81</v>
      </c>
      <c r="M82">
        <v>81</v>
      </c>
      <c r="N82">
        <v>91</v>
      </c>
      <c r="O82">
        <v>91</v>
      </c>
      <c r="P82">
        <v>46</v>
      </c>
    </row>
    <row r="84" spans="1:16" x14ac:dyDescent="0.25">
      <c r="B84" t="s">
        <v>75</v>
      </c>
    </row>
    <row r="85" spans="1:16" x14ac:dyDescent="0.25">
      <c r="B85">
        <v>8</v>
      </c>
      <c r="C85">
        <v>9</v>
      </c>
      <c r="D85">
        <v>10</v>
      </c>
      <c r="E85">
        <v>11</v>
      </c>
      <c r="F85">
        <v>12</v>
      </c>
      <c r="G85">
        <v>13</v>
      </c>
      <c r="H85">
        <v>14</v>
      </c>
      <c r="I85">
        <v>15</v>
      </c>
      <c r="J85">
        <v>16</v>
      </c>
      <c r="K85">
        <v>17</v>
      </c>
      <c r="L85">
        <v>18</v>
      </c>
      <c r="M85">
        <v>19</v>
      </c>
      <c r="N85">
        <v>20</v>
      </c>
    </row>
    <row r="86" spans="1:16" x14ac:dyDescent="0.25">
      <c r="A86">
        <v>1</v>
      </c>
      <c r="B86">
        <v>7</v>
      </c>
      <c r="C86">
        <v>7</v>
      </c>
      <c r="D86">
        <v>7</v>
      </c>
      <c r="E86">
        <v>7</v>
      </c>
      <c r="F86">
        <v>8</v>
      </c>
      <c r="G86">
        <v>8</v>
      </c>
      <c r="H86">
        <v>8</v>
      </c>
      <c r="I86">
        <v>8</v>
      </c>
      <c r="J86">
        <v>8</v>
      </c>
      <c r="K86">
        <v>9</v>
      </c>
      <c r="L86">
        <v>9</v>
      </c>
      <c r="M86">
        <v>9</v>
      </c>
      <c r="N86">
        <v>9</v>
      </c>
    </row>
    <row r="87" spans="1:16" x14ac:dyDescent="0.25">
      <c r="A87">
        <v>2</v>
      </c>
      <c r="B87">
        <v>15</v>
      </c>
      <c r="C87">
        <v>15</v>
      </c>
      <c r="D87">
        <v>16</v>
      </c>
      <c r="E87">
        <v>16</v>
      </c>
      <c r="F87">
        <v>17</v>
      </c>
      <c r="G87">
        <v>17</v>
      </c>
      <c r="H87">
        <v>18</v>
      </c>
      <c r="I87">
        <v>19</v>
      </c>
      <c r="J87">
        <v>19</v>
      </c>
      <c r="K87">
        <v>20</v>
      </c>
      <c r="L87">
        <v>20</v>
      </c>
      <c r="M87">
        <v>21</v>
      </c>
      <c r="N87">
        <v>21</v>
      </c>
    </row>
    <row r="88" spans="1:16" x14ac:dyDescent="0.25">
      <c r="A88">
        <v>3</v>
      </c>
      <c r="B88">
        <v>31</v>
      </c>
      <c r="C88">
        <v>31</v>
      </c>
      <c r="D88">
        <v>35</v>
      </c>
      <c r="E88">
        <v>35</v>
      </c>
      <c r="F88">
        <v>38</v>
      </c>
      <c r="G88">
        <v>38</v>
      </c>
      <c r="H88">
        <v>40</v>
      </c>
      <c r="I88">
        <v>42</v>
      </c>
      <c r="J88">
        <v>42</v>
      </c>
      <c r="K88">
        <v>45</v>
      </c>
      <c r="L88">
        <v>45</v>
      </c>
      <c r="M88">
        <v>49</v>
      </c>
      <c r="N88">
        <v>49</v>
      </c>
    </row>
    <row r="89" spans="1:16" x14ac:dyDescent="0.25">
      <c r="A89">
        <v>4</v>
      </c>
      <c r="B89">
        <v>62</v>
      </c>
      <c r="C89">
        <v>62</v>
      </c>
      <c r="D89">
        <v>70</v>
      </c>
      <c r="E89">
        <v>70</v>
      </c>
      <c r="F89">
        <v>76</v>
      </c>
      <c r="G89">
        <v>76</v>
      </c>
      <c r="H89">
        <v>80</v>
      </c>
      <c r="I89">
        <v>84</v>
      </c>
      <c r="J89">
        <v>84</v>
      </c>
      <c r="K89">
        <v>90</v>
      </c>
      <c r="L89">
        <v>90</v>
      </c>
      <c r="M89">
        <v>98</v>
      </c>
      <c r="N89">
        <v>98</v>
      </c>
    </row>
    <row r="90" spans="1:16" x14ac:dyDescent="0.25">
      <c r="A90">
        <v>5</v>
      </c>
      <c r="B90">
        <v>126</v>
      </c>
      <c r="C90">
        <v>126</v>
      </c>
      <c r="D90">
        <v>131</v>
      </c>
      <c r="E90">
        <v>131</v>
      </c>
      <c r="F90">
        <v>142</v>
      </c>
      <c r="G90">
        <v>142</v>
      </c>
      <c r="H90">
        <v>150</v>
      </c>
      <c r="I90">
        <v>158</v>
      </c>
      <c r="J90">
        <v>158</v>
      </c>
      <c r="K90">
        <v>169</v>
      </c>
      <c r="L90">
        <v>169</v>
      </c>
      <c r="M90">
        <v>184</v>
      </c>
      <c r="N90">
        <v>184</v>
      </c>
    </row>
    <row r="91" spans="1:16" x14ac:dyDescent="0.25">
      <c r="A91">
        <v>6</v>
      </c>
      <c r="B91">
        <v>184</v>
      </c>
      <c r="C91">
        <v>184</v>
      </c>
      <c r="D91">
        <v>201</v>
      </c>
      <c r="E91">
        <v>201</v>
      </c>
      <c r="F91">
        <v>218</v>
      </c>
      <c r="G91">
        <v>218</v>
      </c>
      <c r="H91">
        <v>230</v>
      </c>
      <c r="I91">
        <v>242</v>
      </c>
      <c r="J91">
        <v>242</v>
      </c>
      <c r="K91">
        <v>259</v>
      </c>
      <c r="L91">
        <v>259</v>
      </c>
      <c r="M91">
        <v>276</v>
      </c>
      <c r="N91">
        <v>276</v>
      </c>
    </row>
    <row r="92" spans="1:16" x14ac:dyDescent="0.25">
      <c r="A92">
        <v>7</v>
      </c>
      <c r="B92">
        <v>256</v>
      </c>
      <c r="C92">
        <v>256</v>
      </c>
      <c r="D92">
        <v>280</v>
      </c>
      <c r="E92">
        <v>280</v>
      </c>
      <c r="F92">
        <v>303</v>
      </c>
      <c r="G92">
        <v>303</v>
      </c>
      <c r="H92">
        <v>320</v>
      </c>
      <c r="I92">
        <v>337</v>
      </c>
      <c r="J92">
        <v>337</v>
      </c>
      <c r="K92">
        <v>360</v>
      </c>
      <c r="L92">
        <v>360</v>
      </c>
      <c r="M92">
        <v>384</v>
      </c>
      <c r="N92">
        <v>384</v>
      </c>
    </row>
    <row r="93" spans="1:16" x14ac:dyDescent="0.25">
      <c r="A93">
        <v>8</v>
      </c>
      <c r="B93">
        <v>360</v>
      </c>
      <c r="C93">
        <v>360</v>
      </c>
      <c r="D93">
        <v>394</v>
      </c>
      <c r="E93">
        <v>394</v>
      </c>
      <c r="F93">
        <v>426</v>
      </c>
      <c r="G93">
        <v>426</v>
      </c>
      <c r="H93">
        <v>450</v>
      </c>
      <c r="I93">
        <v>474</v>
      </c>
      <c r="J93">
        <v>474</v>
      </c>
      <c r="K93">
        <v>506</v>
      </c>
      <c r="L93">
        <v>506</v>
      </c>
      <c r="M93">
        <v>540</v>
      </c>
      <c r="N93">
        <v>540</v>
      </c>
    </row>
    <row r="94" spans="1:16" x14ac:dyDescent="0.25">
      <c r="A94">
        <v>9</v>
      </c>
      <c r="B94">
        <v>490</v>
      </c>
      <c r="C94">
        <v>490</v>
      </c>
      <c r="D94">
        <v>525</v>
      </c>
      <c r="E94">
        <v>525</v>
      </c>
      <c r="F94">
        <v>568</v>
      </c>
      <c r="G94">
        <v>568</v>
      </c>
      <c r="H94">
        <v>600</v>
      </c>
      <c r="I94">
        <v>632</v>
      </c>
      <c r="J94">
        <v>632</v>
      </c>
      <c r="K94">
        <v>675</v>
      </c>
      <c r="L94">
        <v>675</v>
      </c>
      <c r="M94">
        <v>710</v>
      </c>
      <c r="N94">
        <v>710</v>
      </c>
    </row>
    <row r="96" spans="1:16" x14ac:dyDescent="0.25">
      <c r="B96" t="s">
        <v>87</v>
      </c>
    </row>
    <row r="97" spans="1:13" x14ac:dyDescent="0.25">
      <c r="B97" t="s">
        <v>88</v>
      </c>
      <c r="C97" t="s">
        <v>89</v>
      </c>
      <c r="D97" t="s">
        <v>90</v>
      </c>
      <c r="E97" t="s">
        <v>91</v>
      </c>
      <c r="F97" t="s">
        <v>92</v>
      </c>
      <c r="G97" t="s">
        <v>93</v>
      </c>
      <c r="H97" t="s">
        <v>94</v>
      </c>
      <c r="I97" t="s">
        <v>95</v>
      </c>
      <c r="J97" t="s">
        <v>96</v>
      </c>
      <c r="K97" t="s">
        <v>97</v>
      </c>
      <c r="L97" t="s">
        <v>98</v>
      </c>
      <c r="M97" t="s">
        <v>101</v>
      </c>
    </row>
    <row r="98" spans="1:13" x14ac:dyDescent="0.25">
      <c r="A98">
        <v>1</v>
      </c>
      <c r="B98">
        <v>5</v>
      </c>
      <c r="C98">
        <v>7</v>
      </c>
      <c r="D98">
        <v>10</v>
      </c>
      <c r="E98">
        <v>15</v>
      </c>
      <c r="F98">
        <v>15</v>
      </c>
      <c r="G98">
        <v>25</v>
      </c>
      <c r="H98">
        <v>70</v>
      </c>
      <c r="I98">
        <v>65</v>
      </c>
      <c r="J98">
        <v>15</v>
      </c>
      <c r="K98">
        <v>30</v>
      </c>
      <c r="L98">
        <v>10</v>
      </c>
    </row>
    <row r="99" spans="1:13" x14ac:dyDescent="0.25">
      <c r="A99">
        <v>2</v>
      </c>
      <c r="B99">
        <v>10</v>
      </c>
      <c r="C99">
        <v>11</v>
      </c>
      <c r="D99">
        <v>15</v>
      </c>
      <c r="E99">
        <v>20</v>
      </c>
      <c r="F99">
        <v>20</v>
      </c>
      <c r="G99">
        <v>30</v>
      </c>
      <c r="H99">
        <v>72</v>
      </c>
      <c r="I99">
        <v>68</v>
      </c>
      <c r="J99">
        <v>18</v>
      </c>
      <c r="K99">
        <v>35</v>
      </c>
      <c r="L99">
        <v>13</v>
      </c>
    </row>
    <row r="100" spans="1:13" x14ac:dyDescent="0.25">
      <c r="A100">
        <v>3</v>
      </c>
      <c r="B100">
        <v>15</v>
      </c>
      <c r="C100">
        <v>15</v>
      </c>
      <c r="D100">
        <v>20</v>
      </c>
      <c r="E100">
        <v>25</v>
      </c>
      <c r="F100">
        <v>25</v>
      </c>
      <c r="G100">
        <v>35</v>
      </c>
      <c r="H100">
        <v>74</v>
      </c>
      <c r="I100">
        <v>71</v>
      </c>
      <c r="J100">
        <v>21</v>
      </c>
      <c r="K100">
        <v>40</v>
      </c>
      <c r="L100">
        <v>16</v>
      </c>
    </row>
    <row r="101" spans="1:13" x14ac:dyDescent="0.25">
      <c r="A101">
        <v>4</v>
      </c>
      <c r="B101">
        <v>20</v>
      </c>
      <c r="C101">
        <v>19</v>
      </c>
      <c r="D101">
        <v>25</v>
      </c>
      <c r="E101">
        <v>30</v>
      </c>
      <c r="F101">
        <v>30</v>
      </c>
      <c r="G101">
        <v>40</v>
      </c>
      <c r="H101">
        <v>76</v>
      </c>
      <c r="I101">
        <v>74</v>
      </c>
      <c r="J101">
        <v>23</v>
      </c>
      <c r="K101">
        <v>45</v>
      </c>
      <c r="L101">
        <v>19</v>
      </c>
    </row>
    <row r="102" spans="1:13" x14ac:dyDescent="0.25">
      <c r="A102">
        <v>5</v>
      </c>
      <c r="B102">
        <v>25</v>
      </c>
      <c r="C102">
        <v>23</v>
      </c>
      <c r="D102">
        <v>30</v>
      </c>
      <c r="E102">
        <v>35</v>
      </c>
      <c r="F102">
        <v>35</v>
      </c>
      <c r="G102">
        <v>45</v>
      </c>
      <c r="H102">
        <v>78</v>
      </c>
      <c r="I102">
        <v>77</v>
      </c>
      <c r="J102">
        <v>26</v>
      </c>
      <c r="K102">
        <v>50</v>
      </c>
      <c r="L102">
        <v>22</v>
      </c>
    </row>
    <row r="104" spans="1:13" x14ac:dyDescent="0.25">
      <c r="B104" t="s">
        <v>99</v>
      </c>
    </row>
    <row r="105" spans="1:13" x14ac:dyDescent="0.25">
      <c r="A105">
        <v>6</v>
      </c>
      <c r="B105">
        <v>28</v>
      </c>
      <c r="C105">
        <v>25</v>
      </c>
      <c r="D105">
        <v>35</v>
      </c>
      <c r="E105">
        <v>40</v>
      </c>
      <c r="F105">
        <v>40</v>
      </c>
      <c r="G105">
        <v>50</v>
      </c>
      <c r="H105">
        <v>80</v>
      </c>
      <c r="I105">
        <v>80</v>
      </c>
      <c r="J105">
        <v>29</v>
      </c>
      <c r="K105">
        <v>52</v>
      </c>
      <c r="L105">
        <v>26</v>
      </c>
      <c r="M105">
        <v>20</v>
      </c>
    </row>
    <row r="106" spans="1:13" x14ac:dyDescent="0.25">
      <c r="A106">
        <v>7</v>
      </c>
      <c r="B106">
        <v>32</v>
      </c>
      <c r="C106">
        <v>28</v>
      </c>
      <c r="D106">
        <v>40</v>
      </c>
      <c r="E106">
        <v>45</v>
      </c>
      <c r="F106">
        <v>45</v>
      </c>
      <c r="G106">
        <v>54</v>
      </c>
      <c r="H106">
        <v>85</v>
      </c>
      <c r="I106">
        <v>83</v>
      </c>
      <c r="J106">
        <v>32</v>
      </c>
      <c r="K106">
        <v>55</v>
      </c>
      <c r="L106">
        <v>30</v>
      </c>
      <c r="M106">
        <v>22</v>
      </c>
    </row>
    <row r="107" spans="1:13" x14ac:dyDescent="0.25">
      <c r="A107">
        <v>8</v>
      </c>
      <c r="B107">
        <v>37</v>
      </c>
      <c r="C107">
        <v>30</v>
      </c>
      <c r="D107">
        <v>45</v>
      </c>
      <c r="E107">
        <v>50</v>
      </c>
      <c r="F107">
        <v>50</v>
      </c>
      <c r="G107">
        <v>58</v>
      </c>
      <c r="H107">
        <v>90</v>
      </c>
      <c r="I107">
        <v>86</v>
      </c>
      <c r="J107">
        <v>35</v>
      </c>
      <c r="K107">
        <v>58</v>
      </c>
      <c r="L107">
        <v>35</v>
      </c>
      <c r="M107">
        <v>25</v>
      </c>
    </row>
    <row r="108" spans="1:13" x14ac:dyDescent="0.25">
      <c r="A108">
        <v>9</v>
      </c>
      <c r="B108">
        <v>41</v>
      </c>
      <c r="C108">
        <v>33</v>
      </c>
      <c r="D108">
        <v>50</v>
      </c>
      <c r="E108">
        <v>55</v>
      </c>
      <c r="F108">
        <v>55</v>
      </c>
      <c r="G108">
        <v>61</v>
      </c>
      <c r="H108">
        <v>95</v>
      </c>
      <c r="I108">
        <v>89</v>
      </c>
      <c r="J108">
        <v>37</v>
      </c>
      <c r="K108">
        <v>60</v>
      </c>
      <c r="L108">
        <v>39</v>
      </c>
      <c r="M108">
        <v>27</v>
      </c>
    </row>
    <row r="109" spans="1:13" x14ac:dyDescent="0.25">
      <c r="A109">
        <v>10</v>
      </c>
      <c r="B109">
        <v>47</v>
      </c>
      <c r="C109">
        <v>38</v>
      </c>
      <c r="D109">
        <v>55</v>
      </c>
      <c r="E109">
        <v>60</v>
      </c>
      <c r="F109">
        <v>60</v>
      </c>
      <c r="G109">
        <v>65</v>
      </c>
      <c r="H109">
        <v>100</v>
      </c>
      <c r="I109">
        <v>92</v>
      </c>
      <c r="J109">
        <v>40</v>
      </c>
      <c r="K109">
        <v>62</v>
      </c>
      <c r="L109">
        <v>45</v>
      </c>
      <c r="M109">
        <v>30</v>
      </c>
    </row>
    <row r="110" spans="1:13" x14ac:dyDescent="0.25">
      <c r="A110">
        <v>11</v>
      </c>
      <c r="B110">
        <v>49</v>
      </c>
      <c r="C110">
        <v>42</v>
      </c>
      <c r="D110">
        <v>60</v>
      </c>
      <c r="E110">
        <v>65</v>
      </c>
      <c r="F110">
        <v>65</v>
      </c>
      <c r="G110">
        <v>69</v>
      </c>
      <c r="H110">
        <v>102</v>
      </c>
      <c r="I110">
        <v>95</v>
      </c>
      <c r="J110">
        <v>42</v>
      </c>
      <c r="K110">
        <v>65</v>
      </c>
      <c r="L110">
        <v>52</v>
      </c>
      <c r="M110">
        <v>32</v>
      </c>
    </row>
    <row r="111" spans="1:13" x14ac:dyDescent="0.25">
      <c r="A111">
        <v>12</v>
      </c>
      <c r="B111">
        <v>52</v>
      </c>
      <c r="C111">
        <v>48</v>
      </c>
      <c r="D111">
        <v>65</v>
      </c>
      <c r="E111">
        <v>70</v>
      </c>
      <c r="F111">
        <v>70</v>
      </c>
      <c r="G111">
        <v>74</v>
      </c>
      <c r="H111">
        <v>104</v>
      </c>
      <c r="I111">
        <v>98</v>
      </c>
      <c r="J111">
        <v>45</v>
      </c>
      <c r="K111">
        <v>67</v>
      </c>
      <c r="L111">
        <v>60</v>
      </c>
      <c r="M111">
        <v>35</v>
      </c>
    </row>
    <row r="112" spans="1:13" x14ac:dyDescent="0.25">
      <c r="A112">
        <v>13</v>
      </c>
      <c r="B112">
        <v>55</v>
      </c>
      <c r="C112">
        <v>53</v>
      </c>
      <c r="D112">
        <v>70</v>
      </c>
      <c r="E112">
        <v>75</v>
      </c>
      <c r="F112">
        <v>75</v>
      </c>
      <c r="G112">
        <v>78</v>
      </c>
      <c r="H112">
        <v>106</v>
      </c>
      <c r="I112">
        <v>101</v>
      </c>
      <c r="J112">
        <v>48</v>
      </c>
      <c r="K112">
        <v>70</v>
      </c>
      <c r="L112">
        <v>68</v>
      </c>
      <c r="M112">
        <v>37</v>
      </c>
    </row>
    <row r="113" spans="1:13" x14ac:dyDescent="0.25">
      <c r="A113">
        <v>14</v>
      </c>
      <c r="B113">
        <v>57</v>
      </c>
      <c r="C113">
        <v>59</v>
      </c>
      <c r="D113">
        <v>75</v>
      </c>
      <c r="E113">
        <v>80</v>
      </c>
      <c r="F113">
        <v>80</v>
      </c>
      <c r="G113">
        <v>82</v>
      </c>
      <c r="H113">
        <v>108</v>
      </c>
      <c r="I113">
        <v>104</v>
      </c>
      <c r="J113">
        <v>50</v>
      </c>
      <c r="K113">
        <v>72</v>
      </c>
      <c r="L113">
        <v>75</v>
      </c>
      <c r="M113">
        <v>40</v>
      </c>
    </row>
    <row r="114" spans="1:13" x14ac:dyDescent="0.25">
      <c r="A114">
        <v>15</v>
      </c>
      <c r="B114">
        <v>60</v>
      </c>
      <c r="C114">
        <v>65</v>
      </c>
      <c r="D114">
        <v>80</v>
      </c>
      <c r="E114">
        <v>85</v>
      </c>
      <c r="F114">
        <v>85</v>
      </c>
      <c r="G114">
        <v>86</v>
      </c>
      <c r="H114">
        <v>110</v>
      </c>
      <c r="I114">
        <v>107</v>
      </c>
      <c r="J114">
        <v>53</v>
      </c>
      <c r="K114">
        <v>75</v>
      </c>
      <c r="L114">
        <v>85</v>
      </c>
      <c r="M114">
        <v>42</v>
      </c>
    </row>
    <row r="116" spans="1:13" x14ac:dyDescent="0.25">
      <c r="B116" t="s">
        <v>100</v>
      </c>
    </row>
    <row r="117" spans="1:13" x14ac:dyDescent="0.25">
      <c r="A117">
        <v>6</v>
      </c>
      <c r="B117">
        <v>33</v>
      </c>
      <c r="C117">
        <v>28</v>
      </c>
      <c r="D117">
        <v>34</v>
      </c>
      <c r="E117">
        <v>39</v>
      </c>
      <c r="F117">
        <v>39</v>
      </c>
      <c r="G117">
        <v>48</v>
      </c>
      <c r="H117">
        <v>80</v>
      </c>
      <c r="I117">
        <v>79</v>
      </c>
      <c r="J117">
        <v>29</v>
      </c>
      <c r="K117">
        <v>52</v>
      </c>
      <c r="L117">
        <v>23</v>
      </c>
      <c r="M117">
        <v>20</v>
      </c>
    </row>
    <row r="118" spans="1:13" x14ac:dyDescent="0.25">
      <c r="A118">
        <v>7</v>
      </c>
      <c r="B118">
        <v>39</v>
      </c>
      <c r="C118">
        <v>33</v>
      </c>
      <c r="D118">
        <v>38</v>
      </c>
      <c r="E118">
        <v>43</v>
      </c>
      <c r="F118">
        <v>43</v>
      </c>
      <c r="G118">
        <v>52</v>
      </c>
      <c r="H118">
        <v>82</v>
      </c>
      <c r="I118">
        <v>81</v>
      </c>
      <c r="J118">
        <v>32</v>
      </c>
      <c r="K118">
        <v>55</v>
      </c>
      <c r="L118">
        <v>25</v>
      </c>
      <c r="M118">
        <v>23</v>
      </c>
    </row>
    <row r="119" spans="1:13" x14ac:dyDescent="0.25">
      <c r="A119">
        <v>8</v>
      </c>
      <c r="B119">
        <v>46</v>
      </c>
      <c r="C119">
        <v>39</v>
      </c>
      <c r="D119">
        <v>42</v>
      </c>
      <c r="E119">
        <v>47</v>
      </c>
      <c r="F119">
        <v>47</v>
      </c>
      <c r="G119">
        <v>55</v>
      </c>
      <c r="H119">
        <v>83</v>
      </c>
      <c r="I119">
        <v>83</v>
      </c>
      <c r="J119">
        <v>35</v>
      </c>
      <c r="K119">
        <v>58</v>
      </c>
      <c r="L119">
        <v>27</v>
      </c>
      <c r="M119">
        <v>25</v>
      </c>
    </row>
    <row r="120" spans="1:13" x14ac:dyDescent="0.25">
      <c r="A120">
        <v>9</v>
      </c>
      <c r="B120">
        <v>53</v>
      </c>
      <c r="C120">
        <v>45</v>
      </c>
      <c r="D120">
        <v>46</v>
      </c>
      <c r="E120">
        <v>50</v>
      </c>
      <c r="F120">
        <v>50</v>
      </c>
      <c r="G120">
        <v>58</v>
      </c>
      <c r="H120">
        <v>85</v>
      </c>
      <c r="I120">
        <v>85</v>
      </c>
      <c r="J120">
        <v>37</v>
      </c>
      <c r="K120">
        <v>60</v>
      </c>
      <c r="L120">
        <v>29</v>
      </c>
      <c r="M120">
        <v>27</v>
      </c>
    </row>
    <row r="121" spans="1:13" x14ac:dyDescent="0.25">
      <c r="A121">
        <v>10</v>
      </c>
      <c r="B121">
        <v>60</v>
      </c>
      <c r="C121">
        <v>51</v>
      </c>
      <c r="D121">
        <v>50</v>
      </c>
      <c r="E121">
        <v>54</v>
      </c>
      <c r="F121">
        <v>54</v>
      </c>
      <c r="G121">
        <v>63</v>
      </c>
      <c r="H121">
        <v>86</v>
      </c>
      <c r="I121">
        <v>87</v>
      </c>
      <c r="J121">
        <v>40</v>
      </c>
      <c r="K121">
        <v>62</v>
      </c>
      <c r="L121">
        <v>32</v>
      </c>
      <c r="M121">
        <v>30</v>
      </c>
    </row>
    <row r="122" spans="1:13" x14ac:dyDescent="0.25">
      <c r="A122">
        <v>11</v>
      </c>
      <c r="B122">
        <v>68</v>
      </c>
      <c r="C122">
        <v>55</v>
      </c>
      <c r="D122">
        <v>54</v>
      </c>
      <c r="E122">
        <v>59</v>
      </c>
      <c r="F122">
        <v>59</v>
      </c>
      <c r="G122">
        <v>67</v>
      </c>
      <c r="H122">
        <v>88</v>
      </c>
      <c r="I122">
        <v>89</v>
      </c>
      <c r="J122">
        <v>42</v>
      </c>
      <c r="K122">
        <v>65</v>
      </c>
      <c r="L122">
        <v>35</v>
      </c>
      <c r="M122">
        <v>33</v>
      </c>
    </row>
    <row r="123" spans="1:13" x14ac:dyDescent="0.25">
      <c r="A123">
        <v>12</v>
      </c>
      <c r="B123">
        <v>75</v>
      </c>
      <c r="C123">
        <v>60</v>
      </c>
      <c r="D123">
        <v>58</v>
      </c>
      <c r="E123">
        <v>63</v>
      </c>
      <c r="F123">
        <v>63</v>
      </c>
      <c r="G123">
        <v>70</v>
      </c>
      <c r="H123">
        <v>90</v>
      </c>
      <c r="I123">
        <v>91</v>
      </c>
      <c r="J123">
        <v>45</v>
      </c>
      <c r="K123">
        <v>67</v>
      </c>
      <c r="L123">
        <v>38</v>
      </c>
      <c r="M123">
        <v>35</v>
      </c>
    </row>
    <row r="124" spans="1:13" x14ac:dyDescent="0.25">
      <c r="A124">
        <v>13</v>
      </c>
      <c r="B124">
        <v>83</v>
      </c>
      <c r="C124">
        <v>66</v>
      </c>
      <c r="D124">
        <v>62</v>
      </c>
      <c r="E124">
        <v>66</v>
      </c>
      <c r="F124">
        <v>66</v>
      </c>
      <c r="G124">
        <v>73</v>
      </c>
      <c r="H124">
        <v>91</v>
      </c>
      <c r="I124">
        <v>93</v>
      </c>
      <c r="J124">
        <v>48</v>
      </c>
      <c r="K124">
        <v>70</v>
      </c>
      <c r="L124">
        <v>42</v>
      </c>
      <c r="M124">
        <v>38</v>
      </c>
    </row>
    <row r="125" spans="1:13" x14ac:dyDescent="0.25">
      <c r="A125">
        <v>14</v>
      </c>
      <c r="B125">
        <v>90</v>
      </c>
      <c r="C125">
        <v>72</v>
      </c>
      <c r="D125">
        <v>66</v>
      </c>
      <c r="E125">
        <v>70</v>
      </c>
      <c r="F125">
        <v>70</v>
      </c>
      <c r="G125">
        <v>76</v>
      </c>
      <c r="H125">
        <v>93</v>
      </c>
      <c r="I125">
        <v>95</v>
      </c>
      <c r="J125">
        <v>50</v>
      </c>
      <c r="K125">
        <v>72</v>
      </c>
      <c r="L125">
        <v>45</v>
      </c>
      <c r="M125">
        <v>40</v>
      </c>
    </row>
    <row r="126" spans="1:13" x14ac:dyDescent="0.25">
      <c r="A126">
        <v>15</v>
      </c>
      <c r="B126">
        <v>95</v>
      </c>
      <c r="C126">
        <v>80</v>
      </c>
      <c r="D126">
        <v>70</v>
      </c>
      <c r="E126">
        <v>74</v>
      </c>
      <c r="F126">
        <v>74</v>
      </c>
      <c r="G126">
        <v>80</v>
      </c>
      <c r="H126">
        <v>95</v>
      </c>
      <c r="I126">
        <v>97</v>
      </c>
      <c r="J126">
        <v>53</v>
      </c>
      <c r="K126">
        <v>75</v>
      </c>
      <c r="L126">
        <v>49</v>
      </c>
      <c r="M126">
        <v>43</v>
      </c>
    </row>
    <row r="128" spans="1:13" x14ac:dyDescent="0.25">
      <c r="B128" t="s">
        <v>119</v>
      </c>
    </row>
    <row r="130" spans="1:8" x14ac:dyDescent="0.25">
      <c r="A130" t="s">
        <v>128</v>
      </c>
      <c r="B130">
        <v>1</v>
      </c>
    </row>
    <row r="131" spans="1:8" x14ac:dyDescent="0.25">
      <c r="A131" t="s">
        <v>120</v>
      </c>
      <c r="B131">
        <v>2</v>
      </c>
    </row>
    <row r="132" spans="1:8" x14ac:dyDescent="0.25">
      <c r="A132" t="s">
        <v>121</v>
      </c>
      <c r="B132">
        <v>3</v>
      </c>
    </row>
    <row r="133" spans="1:8" x14ac:dyDescent="0.25">
      <c r="A133" t="s">
        <v>122</v>
      </c>
      <c r="B133">
        <v>4</v>
      </c>
    </row>
    <row r="134" spans="1:8" x14ac:dyDescent="0.25">
      <c r="A134" t="s">
        <v>123</v>
      </c>
      <c r="B134">
        <v>5</v>
      </c>
    </row>
    <row r="135" spans="1:8" x14ac:dyDescent="0.25">
      <c r="A135" t="s">
        <v>124</v>
      </c>
      <c r="B135">
        <v>6</v>
      </c>
    </row>
    <row r="136" spans="1:8" x14ac:dyDescent="0.25">
      <c r="A136" t="s">
        <v>125</v>
      </c>
      <c r="B136">
        <v>7</v>
      </c>
    </row>
    <row r="138" spans="1:8" x14ac:dyDescent="0.25">
      <c r="B138" t="s">
        <v>129</v>
      </c>
    </row>
    <row r="139" spans="1:8" x14ac:dyDescent="0.25">
      <c r="A139" t="s">
        <v>164</v>
      </c>
      <c r="B139" s="16" t="s">
        <v>159</v>
      </c>
      <c r="C139" s="16" t="s">
        <v>160</v>
      </c>
      <c r="D139" s="16" t="s">
        <v>161</v>
      </c>
      <c r="E139" s="16" t="s">
        <v>163</v>
      </c>
      <c r="F139" s="16" t="s">
        <v>162</v>
      </c>
      <c r="G139" s="16" t="s">
        <v>176</v>
      </c>
      <c r="H139" s="16" t="s">
        <v>177</v>
      </c>
    </row>
    <row r="140" spans="1:8" x14ac:dyDescent="0.25">
      <c r="A140" t="s">
        <v>167</v>
      </c>
      <c r="B140">
        <v>0</v>
      </c>
      <c r="C140">
        <v>0</v>
      </c>
      <c r="D140">
        <v>-3</v>
      </c>
      <c r="E140">
        <v>0</v>
      </c>
      <c r="F140">
        <v>1</v>
      </c>
      <c r="G140">
        <v>0</v>
      </c>
      <c r="H140" s="14">
        <v>0</v>
      </c>
    </row>
    <row r="141" spans="1:8" x14ac:dyDescent="0.25">
      <c r="A141" t="s">
        <v>130</v>
      </c>
      <c r="B141">
        <v>2</v>
      </c>
      <c r="C141">
        <v>0</v>
      </c>
      <c r="D141">
        <v>-2</v>
      </c>
      <c r="E141">
        <v>0</v>
      </c>
      <c r="F141">
        <v>1</v>
      </c>
      <c r="G141">
        <v>3</v>
      </c>
      <c r="H141" s="19" t="s">
        <v>178</v>
      </c>
    </row>
    <row r="142" spans="1:8" x14ac:dyDescent="0.25">
      <c r="A142" t="s">
        <v>131</v>
      </c>
      <c r="B142">
        <v>3</v>
      </c>
      <c r="C142">
        <v>-1</v>
      </c>
      <c r="D142">
        <v>-2</v>
      </c>
      <c r="E142">
        <v>0</v>
      </c>
      <c r="F142">
        <v>1</v>
      </c>
      <c r="G142">
        <v>0</v>
      </c>
      <c r="H142" s="14">
        <v>0</v>
      </c>
    </row>
    <row r="143" spans="1:8" x14ac:dyDescent="0.25">
      <c r="A143" t="s">
        <v>132</v>
      </c>
      <c r="B143">
        <v>4</v>
      </c>
      <c r="C143">
        <v>-1</v>
      </c>
      <c r="D143">
        <v>-1</v>
      </c>
      <c r="E143">
        <v>0</v>
      </c>
      <c r="F143">
        <v>1</v>
      </c>
      <c r="G143">
        <v>0</v>
      </c>
      <c r="H143" s="14">
        <v>0</v>
      </c>
    </row>
    <row r="144" spans="1:8" x14ac:dyDescent="0.25">
      <c r="A144" t="s">
        <v>133</v>
      </c>
      <c r="B144">
        <v>3</v>
      </c>
      <c r="C144">
        <v>-2</v>
      </c>
      <c r="D144">
        <v>-2</v>
      </c>
      <c r="E144">
        <v>0</v>
      </c>
      <c r="F144">
        <v>1</v>
      </c>
      <c r="G144">
        <v>0</v>
      </c>
      <c r="H144" s="14">
        <v>0</v>
      </c>
    </row>
    <row r="145" spans="1:8" x14ac:dyDescent="0.25">
      <c r="A145" t="s">
        <v>134</v>
      </c>
      <c r="B145">
        <v>3</v>
      </c>
      <c r="C145">
        <v>1</v>
      </c>
      <c r="D145">
        <v>-1</v>
      </c>
      <c r="E145">
        <v>0</v>
      </c>
      <c r="F145">
        <v>1</v>
      </c>
      <c r="G145">
        <v>0</v>
      </c>
      <c r="H145" s="14">
        <v>0</v>
      </c>
    </row>
    <row r="146" spans="1:8" x14ac:dyDescent="0.25">
      <c r="A146" t="s">
        <v>135</v>
      </c>
      <c r="B146">
        <v>4</v>
      </c>
      <c r="C146">
        <v>2</v>
      </c>
      <c r="D146">
        <v>1</v>
      </c>
      <c r="E146">
        <v>0</v>
      </c>
      <c r="F146">
        <v>2</v>
      </c>
      <c r="G146">
        <v>0</v>
      </c>
      <c r="H146" s="14">
        <v>0</v>
      </c>
    </row>
    <row r="147" spans="1:8" x14ac:dyDescent="0.25">
      <c r="A147" t="s">
        <v>136</v>
      </c>
      <c r="B147">
        <v>5</v>
      </c>
      <c r="C147">
        <v>0</v>
      </c>
      <c r="D147">
        <v>0</v>
      </c>
      <c r="E147">
        <v>0</v>
      </c>
      <c r="F147">
        <v>2</v>
      </c>
      <c r="G147">
        <v>0</v>
      </c>
      <c r="H147" s="14">
        <v>0</v>
      </c>
    </row>
    <row r="148" spans="1:8" x14ac:dyDescent="0.25">
      <c r="A148" t="s">
        <v>137</v>
      </c>
      <c r="B148">
        <v>3</v>
      </c>
      <c r="C148">
        <v>1</v>
      </c>
      <c r="D148">
        <v>-1</v>
      </c>
      <c r="E148">
        <v>0</v>
      </c>
      <c r="F148">
        <v>2</v>
      </c>
      <c r="G148">
        <v>3</v>
      </c>
      <c r="H148" s="19" t="s">
        <v>179</v>
      </c>
    </row>
    <row r="149" spans="1:8" x14ac:dyDescent="0.25">
      <c r="A149" t="s">
        <v>138</v>
      </c>
      <c r="B149">
        <v>3</v>
      </c>
      <c r="C149">
        <v>2</v>
      </c>
      <c r="D149">
        <v>-1</v>
      </c>
      <c r="E149">
        <v>0</v>
      </c>
      <c r="F149">
        <v>2</v>
      </c>
      <c r="G149">
        <v>0</v>
      </c>
      <c r="H149" s="14">
        <v>0</v>
      </c>
    </row>
    <row r="150" spans="1:8" x14ac:dyDescent="0.25">
      <c r="A150" t="s">
        <v>139</v>
      </c>
      <c r="B150">
        <v>6</v>
      </c>
      <c r="C150">
        <v>0</v>
      </c>
      <c r="D150">
        <v>1</v>
      </c>
      <c r="E150">
        <v>0</v>
      </c>
      <c r="F150">
        <v>3</v>
      </c>
      <c r="G150">
        <v>0</v>
      </c>
      <c r="H150" s="14">
        <v>0</v>
      </c>
    </row>
    <row r="151" spans="1:8" x14ac:dyDescent="0.25">
      <c r="A151" t="s">
        <v>140</v>
      </c>
      <c r="B151">
        <v>7</v>
      </c>
      <c r="C151">
        <v>-1</v>
      </c>
      <c r="D151">
        <v>0</v>
      </c>
      <c r="E151">
        <v>0</v>
      </c>
      <c r="F151">
        <v>3</v>
      </c>
      <c r="G151">
        <v>0</v>
      </c>
      <c r="H151" s="14">
        <v>0</v>
      </c>
    </row>
    <row r="152" spans="1:8" x14ac:dyDescent="0.25">
      <c r="A152" t="s">
        <v>141</v>
      </c>
      <c r="B152">
        <v>5</v>
      </c>
      <c r="C152">
        <v>2</v>
      </c>
      <c r="D152">
        <v>-1</v>
      </c>
      <c r="E152">
        <v>0</v>
      </c>
      <c r="F152">
        <v>3</v>
      </c>
      <c r="G152">
        <v>0</v>
      </c>
      <c r="H152" s="14">
        <v>0</v>
      </c>
    </row>
    <row r="153" spans="1:8" x14ac:dyDescent="0.25">
      <c r="A153" t="s">
        <v>142</v>
      </c>
      <c r="B153">
        <v>4</v>
      </c>
      <c r="C153">
        <v>3</v>
      </c>
      <c r="D153">
        <v>-2</v>
      </c>
      <c r="E153">
        <v>0</v>
      </c>
      <c r="F153">
        <v>3</v>
      </c>
      <c r="G153">
        <v>0</v>
      </c>
      <c r="H153" s="14">
        <v>0</v>
      </c>
    </row>
    <row r="154" spans="1:8" x14ac:dyDescent="0.25">
      <c r="A154" t="s">
        <v>143</v>
      </c>
      <c r="B154">
        <v>5</v>
      </c>
      <c r="C154">
        <v>-1</v>
      </c>
      <c r="D154">
        <v>1</v>
      </c>
      <c r="E154">
        <v>1</v>
      </c>
      <c r="F154">
        <v>1</v>
      </c>
      <c r="G154">
        <v>0</v>
      </c>
      <c r="H154" s="14">
        <v>0</v>
      </c>
    </row>
    <row r="155" spans="1:8" x14ac:dyDescent="0.25">
      <c r="A155" t="s">
        <v>144</v>
      </c>
      <c r="B155">
        <v>3</v>
      </c>
      <c r="C155">
        <v>1</v>
      </c>
      <c r="D155">
        <v>2</v>
      </c>
      <c r="E155">
        <v>1</v>
      </c>
      <c r="F155">
        <v>1</v>
      </c>
      <c r="G155">
        <v>0</v>
      </c>
      <c r="H155" s="14">
        <v>0</v>
      </c>
    </row>
    <row r="156" spans="1:8" x14ac:dyDescent="0.25">
      <c r="A156" t="s">
        <v>145</v>
      </c>
      <c r="B156">
        <v>4</v>
      </c>
      <c r="C156">
        <v>0</v>
      </c>
      <c r="D156">
        <v>1</v>
      </c>
      <c r="E156">
        <v>1</v>
      </c>
      <c r="F156">
        <v>2</v>
      </c>
      <c r="G156">
        <v>3</v>
      </c>
      <c r="H156" s="19" t="s">
        <v>180</v>
      </c>
    </row>
    <row r="157" spans="1:8" x14ac:dyDescent="0.25">
      <c r="A157" t="s">
        <v>146</v>
      </c>
      <c r="B157">
        <v>5</v>
      </c>
      <c r="C157">
        <v>0</v>
      </c>
      <c r="D157">
        <v>1</v>
      </c>
      <c r="E157">
        <v>1</v>
      </c>
      <c r="F157">
        <v>2</v>
      </c>
      <c r="G157">
        <v>3</v>
      </c>
      <c r="H157" s="19" t="s">
        <v>181</v>
      </c>
    </row>
    <row r="158" spans="1:8" x14ac:dyDescent="0.25">
      <c r="A158" t="s">
        <v>147</v>
      </c>
      <c r="B158">
        <v>4</v>
      </c>
      <c r="C158">
        <v>3</v>
      </c>
      <c r="D158">
        <v>-1</v>
      </c>
      <c r="E158">
        <v>1</v>
      </c>
      <c r="F158">
        <v>2</v>
      </c>
      <c r="G158">
        <v>0</v>
      </c>
      <c r="H158" s="14">
        <v>0</v>
      </c>
    </row>
    <row r="159" spans="1:8" x14ac:dyDescent="0.25">
      <c r="A159" t="s">
        <v>148</v>
      </c>
      <c r="B159">
        <v>5</v>
      </c>
      <c r="C159">
        <v>1</v>
      </c>
      <c r="D159">
        <v>1</v>
      </c>
      <c r="E159">
        <v>1</v>
      </c>
      <c r="F159">
        <v>2</v>
      </c>
      <c r="G159">
        <v>0</v>
      </c>
      <c r="H159" s="14">
        <v>0</v>
      </c>
    </row>
    <row r="160" spans="1:8" x14ac:dyDescent="0.25">
      <c r="A160" t="s">
        <v>149</v>
      </c>
      <c r="B160">
        <v>5</v>
      </c>
      <c r="C160">
        <v>2</v>
      </c>
      <c r="D160">
        <v>1</v>
      </c>
      <c r="E160">
        <v>1</v>
      </c>
      <c r="F160">
        <v>2</v>
      </c>
      <c r="G160">
        <v>0</v>
      </c>
      <c r="H160" s="14">
        <v>0</v>
      </c>
    </row>
    <row r="161" spans="1:8" x14ac:dyDescent="0.25">
      <c r="A161" t="s">
        <v>150</v>
      </c>
      <c r="B161">
        <v>4</v>
      </c>
      <c r="C161">
        <v>0</v>
      </c>
      <c r="D161">
        <v>2</v>
      </c>
      <c r="E161">
        <v>1</v>
      </c>
      <c r="F161">
        <v>2</v>
      </c>
      <c r="G161">
        <v>0</v>
      </c>
      <c r="H161" s="14">
        <v>0</v>
      </c>
    </row>
    <row r="162" spans="1:8" x14ac:dyDescent="0.25">
      <c r="A162" t="s">
        <v>151</v>
      </c>
      <c r="B162">
        <v>5</v>
      </c>
      <c r="C162">
        <v>0</v>
      </c>
      <c r="D162">
        <v>3</v>
      </c>
      <c r="E162">
        <v>1</v>
      </c>
      <c r="F162">
        <v>2</v>
      </c>
      <c r="G162">
        <v>0</v>
      </c>
      <c r="H162" s="14">
        <v>0</v>
      </c>
    </row>
    <row r="163" spans="1:8" x14ac:dyDescent="0.25">
      <c r="A163" t="s">
        <v>152</v>
      </c>
      <c r="B163">
        <v>5</v>
      </c>
      <c r="C163">
        <v>4</v>
      </c>
      <c r="D163">
        <v>-1</v>
      </c>
      <c r="E163">
        <v>1</v>
      </c>
      <c r="F163">
        <v>3</v>
      </c>
      <c r="G163">
        <v>0</v>
      </c>
      <c r="H163" s="14">
        <v>0</v>
      </c>
    </row>
    <row r="164" spans="1:8" x14ac:dyDescent="0.25">
      <c r="A164" t="s">
        <v>153</v>
      </c>
      <c r="B164">
        <v>4</v>
      </c>
      <c r="C164">
        <v>6</v>
      </c>
      <c r="D164">
        <v>2</v>
      </c>
      <c r="E164">
        <v>1</v>
      </c>
      <c r="F164">
        <v>3</v>
      </c>
      <c r="G164">
        <v>0</v>
      </c>
      <c r="H164" s="14">
        <v>0</v>
      </c>
    </row>
    <row r="165" spans="1:8" x14ac:dyDescent="0.25">
      <c r="A165" t="s">
        <v>154</v>
      </c>
      <c r="B165">
        <v>7</v>
      </c>
      <c r="C165">
        <v>1</v>
      </c>
      <c r="D165">
        <v>-1</v>
      </c>
      <c r="E165">
        <v>1</v>
      </c>
      <c r="F165">
        <v>3</v>
      </c>
      <c r="G165">
        <v>0</v>
      </c>
      <c r="H165" s="14">
        <v>0</v>
      </c>
    </row>
    <row r="166" spans="1:8" x14ac:dyDescent="0.25">
      <c r="A166" t="s">
        <v>155</v>
      </c>
      <c r="B166">
        <v>5</v>
      </c>
      <c r="C166">
        <v>4</v>
      </c>
      <c r="D166">
        <v>-1</v>
      </c>
      <c r="E166">
        <v>1</v>
      </c>
      <c r="F166">
        <v>3</v>
      </c>
      <c r="G166">
        <v>0</v>
      </c>
      <c r="H166" s="14">
        <v>0</v>
      </c>
    </row>
    <row r="167" spans="1:8" x14ac:dyDescent="0.25">
      <c r="A167" t="s">
        <v>156</v>
      </c>
      <c r="B167">
        <v>6</v>
      </c>
      <c r="C167">
        <v>2</v>
      </c>
      <c r="D167">
        <v>2</v>
      </c>
      <c r="E167">
        <v>1</v>
      </c>
      <c r="F167">
        <v>3</v>
      </c>
      <c r="G167">
        <v>0</v>
      </c>
      <c r="H167" s="14">
        <v>0</v>
      </c>
    </row>
    <row r="168" spans="1:8" x14ac:dyDescent="0.25">
      <c r="A168" t="s">
        <v>157</v>
      </c>
      <c r="B168">
        <v>8</v>
      </c>
      <c r="C168">
        <v>-2</v>
      </c>
      <c r="D168">
        <v>3</v>
      </c>
      <c r="E168">
        <v>1</v>
      </c>
      <c r="F168">
        <v>3</v>
      </c>
      <c r="G168">
        <v>0</v>
      </c>
      <c r="H168" s="14">
        <v>0</v>
      </c>
    </row>
    <row r="169" spans="1:8" x14ac:dyDescent="0.25">
      <c r="A169" t="s">
        <v>158</v>
      </c>
      <c r="B169">
        <v>5</v>
      </c>
      <c r="C169">
        <v>-1</v>
      </c>
      <c r="D169">
        <v>2</v>
      </c>
      <c r="E169">
        <v>1</v>
      </c>
      <c r="F169">
        <v>3</v>
      </c>
      <c r="G169">
        <v>0</v>
      </c>
      <c r="H169" s="14">
        <v>0</v>
      </c>
    </row>
    <row r="170" spans="1:8" x14ac:dyDescent="0.25">
      <c r="A170" t="s">
        <v>191</v>
      </c>
      <c r="B170">
        <v>6</v>
      </c>
      <c r="C170">
        <v>-2</v>
      </c>
      <c r="D170">
        <v>2</v>
      </c>
      <c r="E170">
        <v>1</v>
      </c>
      <c r="F170">
        <v>3</v>
      </c>
      <c r="G170">
        <v>0</v>
      </c>
      <c r="H170" s="14">
        <v>0</v>
      </c>
    </row>
    <row r="171" spans="1:8" x14ac:dyDescent="0.25">
      <c r="A171" t="s">
        <v>168</v>
      </c>
      <c r="B171">
        <v>4</v>
      </c>
      <c r="C171">
        <v>0</v>
      </c>
      <c r="D171">
        <v>-2</v>
      </c>
      <c r="E171">
        <v>0</v>
      </c>
      <c r="F171">
        <v>1</v>
      </c>
      <c r="G171">
        <v>1</v>
      </c>
      <c r="H171" s="19" t="s">
        <v>182</v>
      </c>
    </row>
    <row r="172" spans="1:8" x14ac:dyDescent="0.25">
      <c r="A172" t="s">
        <v>169</v>
      </c>
      <c r="B172">
        <v>5</v>
      </c>
      <c r="C172">
        <v>1</v>
      </c>
      <c r="D172">
        <v>-2</v>
      </c>
      <c r="E172">
        <v>0</v>
      </c>
      <c r="F172">
        <v>1</v>
      </c>
      <c r="G172">
        <v>1</v>
      </c>
      <c r="H172" s="19" t="s">
        <v>183</v>
      </c>
    </row>
    <row r="173" spans="1:8" x14ac:dyDescent="0.25">
      <c r="A173" t="s">
        <v>170</v>
      </c>
      <c r="B173">
        <v>4</v>
      </c>
      <c r="C173">
        <v>1</v>
      </c>
      <c r="D173">
        <v>-2</v>
      </c>
      <c r="E173">
        <v>0</v>
      </c>
      <c r="F173">
        <v>1</v>
      </c>
      <c r="G173">
        <v>1</v>
      </c>
      <c r="H173" s="19" t="s">
        <v>184</v>
      </c>
    </row>
    <row r="174" spans="1:8" x14ac:dyDescent="0.25">
      <c r="A174" t="s">
        <v>171</v>
      </c>
      <c r="B174">
        <v>6</v>
      </c>
      <c r="C174">
        <v>2</v>
      </c>
      <c r="D174">
        <v>-2</v>
      </c>
      <c r="E174">
        <v>0</v>
      </c>
      <c r="F174">
        <v>1</v>
      </c>
      <c r="G174">
        <v>1</v>
      </c>
      <c r="H174" s="19" t="s">
        <v>185</v>
      </c>
    </row>
    <row r="175" spans="1:8" x14ac:dyDescent="0.25">
      <c r="A175" t="s">
        <v>172</v>
      </c>
      <c r="B175">
        <v>4</v>
      </c>
      <c r="C175">
        <v>-1</v>
      </c>
      <c r="D175">
        <v>-2</v>
      </c>
      <c r="E175">
        <v>0</v>
      </c>
      <c r="F175">
        <v>1</v>
      </c>
      <c r="G175">
        <v>1</v>
      </c>
      <c r="H175" s="19" t="s">
        <v>186</v>
      </c>
    </row>
    <row r="176" spans="1:8" x14ac:dyDescent="0.25">
      <c r="A176" t="s">
        <v>173</v>
      </c>
      <c r="B176">
        <v>3</v>
      </c>
      <c r="C176">
        <v>-1</v>
      </c>
      <c r="D176">
        <v>-2</v>
      </c>
      <c r="E176">
        <v>0</v>
      </c>
      <c r="F176">
        <v>1</v>
      </c>
      <c r="G176">
        <v>2</v>
      </c>
      <c r="H176" s="19" t="s">
        <v>187</v>
      </c>
    </row>
    <row r="177" spans="1:8" x14ac:dyDescent="0.25">
      <c r="A177" t="s">
        <v>174</v>
      </c>
      <c r="B177">
        <v>1</v>
      </c>
      <c r="C177">
        <v>0</v>
      </c>
      <c r="D177">
        <v>-2</v>
      </c>
      <c r="E177">
        <v>0</v>
      </c>
      <c r="F177">
        <v>1</v>
      </c>
      <c r="G177">
        <v>2</v>
      </c>
      <c r="H177" s="19" t="s">
        <v>188</v>
      </c>
    </row>
    <row r="178" spans="1:8" x14ac:dyDescent="0.25">
      <c r="A178" t="s">
        <v>175</v>
      </c>
      <c r="B178">
        <v>5</v>
      </c>
      <c r="C178">
        <v>1</v>
      </c>
      <c r="D178">
        <v>-2</v>
      </c>
      <c r="E178">
        <v>0</v>
      </c>
      <c r="F178">
        <v>2</v>
      </c>
      <c r="G178">
        <v>3</v>
      </c>
      <c r="H178" s="19" t="s">
        <v>189</v>
      </c>
    </row>
    <row r="181" spans="1:8" x14ac:dyDescent="0.25">
      <c r="A181" t="s">
        <v>242</v>
      </c>
      <c r="D181" t="s">
        <v>0</v>
      </c>
      <c r="E181" t="s">
        <v>271</v>
      </c>
      <c r="F181" t="s">
        <v>277</v>
      </c>
    </row>
    <row r="182" spans="1:8" x14ac:dyDescent="0.25">
      <c r="B182" t="s">
        <v>243</v>
      </c>
      <c r="D182">
        <v>1</v>
      </c>
      <c r="E182">
        <v>1</v>
      </c>
      <c r="F182">
        <v>1</v>
      </c>
    </row>
    <row r="183" spans="1:8" x14ac:dyDescent="0.25">
      <c r="B183" t="s">
        <v>244</v>
      </c>
      <c r="D183">
        <v>1</v>
      </c>
      <c r="E183">
        <v>1</v>
      </c>
      <c r="F183">
        <v>1</v>
      </c>
    </row>
    <row r="184" spans="1:8" x14ac:dyDescent="0.25">
      <c r="B184" t="s">
        <v>245</v>
      </c>
      <c r="D184">
        <v>1</v>
      </c>
      <c r="E184">
        <v>1</v>
      </c>
      <c r="F184">
        <v>1</v>
      </c>
    </row>
    <row r="185" spans="1:8" x14ac:dyDescent="0.25">
      <c r="B185" t="s">
        <v>246</v>
      </c>
      <c r="D185">
        <v>1</v>
      </c>
      <c r="E185">
        <v>1</v>
      </c>
      <c r="F185">
        <v>1</v>
      </c>
    </row>
    <row r="186" spans="1:8" x14ac:dyDescent="0.25">
      <c r="B186" t="s">
        <v>247</v>
      </c>
      <c r="D186">
        <v>1</v>
      </c>
      <c r="E186">
        <v>1</v>
      </c>
      <c r="F186">
        <v>1</v>
      </c>
    </row>
    <row r="187" spans="1:8" x14ac:dyDescent="0.25">
      <c r="B187" t="s">
        <v>248</v>
      </c>
      <c r="D187">
        <v>1</v>
      </c>
      <c r="E187">
        <v>1</v>
      </c>
      <c r="F187">
        <v>1</v>
      </c>
    </row>
    <row r="188" spans="1:8" x14ac:dyDescent="0.25">
      <c r="B188" t="s">
        <v>249</v>
      </c>
      <c r="D188">
        <v>1</v>
      </c>
      <c r="E188">
        <v>1</v>
      </c>
      <c r="F188">
        <v>1</v>
      </c>
    </row>
    <row r="189" spans="1:8" x14ac:dyDescent="0.25">
      <c r="B189" t="s">
        <v>250</v>
      </c>
      <c r="D189">
        <v>1</v>
      </c>
      <c r="E189">
        <v>1</v>
      </c>
      <c r="F189">
        <v>1</v>
      </c>
    </row>
    <row r="190" spans="1:8" x14ac:dyDescent="0.25">
      <c r="B190" t="s">
        <v>270</v>
      </c>
      <c r="E190">
        <v>1</v>
      </c>
      <c r="F190">
        <v>1</v>
      </c>
    </row>
    <row r="191" spans="1:8" x14ac:dyDescent="0.25">
      <c r="B191" t="s">
        <v>272</v>
      </c>
      <c r="E191">
        <v>1</v>
      </c>
    </row>
    <row r="192" spans="1:8" x14ac:dyDescent="0.25">
      <c r="B192" t="s">
        <v>273</v>
      </c>
      <c r="E192">
        <v>1</v>
      </c>
    </row>
    <row r="193" spans="1:6" x14ac:dyDescent="0.25">
      <c r="B193" t="s">
        <v>274</v>
      </c>
      <c r="E193">
        <v>1</v>
      </c>
    </row>
    <row r="194" spans="1:6" x14ac:dyDescent="0.25">
      <c r="B194" t="s">
        <v>275</v>
      </c>
      <c r="E194">
        <v>1</v>
      </c>
    </row>
    <row r="195" spans="1:6" x14ac:dyDescent="0.25">
      <c r="B195" t="s">
        <v>276</v>
      </c>
      <c r="E195">
        <v>1</v>
      </c>
    </row>
    <row r="196" spans="1:6" x14ac:dyDescent="0.25">
      <c r="B196" t="s">
        <v>278</v>
      </c>
      <c r="F196">
        <v>1</v>
      </c>
    </row>
    <row r="197" spans="1:6" x14ac:dyDescent="0.25">
      <c r="B197" t="s">
        <v>279</v>
      </c>
      <c r="F197">
        <v>1</v>
      </c>
    </row>
    <row r="198" spans="1:6" x14ac:dyDescent="0.25">
      <c r="B198" t="s">
        <v>280</v>
      </c>
      <c r="F198">
        <v>1</v>
      </c>
    </row>
    <row r="201" spans="1:6" x14ac:dyDescent="0.25">
      <c r="A201" t="s">
        <v>251</v>
      </c>
      <c r="D201" t="s">
        <v>8</v>
      </c>
      <c r="E201" t="s">
        <v>50</v>
      </c>
      <c r="F201" t="s">
        <v>51</v>
      </c>
    </row>
    <row r="202" spans="1:6" x14ac:dyDescent="0.25">
      <c r="B202" t="s">
        <v>252</v>
      </c>
      <c r="D202">
        <v>1</v>
      </c>
      <c r="E202">
        <v>1</v>
      </c>
    </row>
    <row r="203" spans="1:6" x14ac:dyDescent="0.25">
      <c r="B203" t="s">
        <v>253</v>
      </c>
      <c r="D203">
        <v>1</v>
      </c>
      <c r="E203">
        <v>1</v>
      </c>
    </row>
    <row r="204" spans="1:6" x14ac:dyDescent="0.25">
      <c r="B204" t="s">
        <v>254</v>
      </c>
      <c r="D204">
        <v>1</v>
      </c>
      <c r="E204">
        <v>1</v>
      </c>
    </row>
    <row r="205" spans="1:6" x14ac:dyDescent="0.25">
      <c r="B205" t="s">
        <v>255</v>
      </c>
      <c r="D205">
        <v>1</v>
      </c>
      <c r="E205">
        <v>1</v>
      </c>
      <c r="F205">
        <v>1</v>
      </c>
    </row>
    <row r="206" spans="1:6" x14ac:dyDescent="0.25">
      <c r="B206" t="s">
        <v>256</v>
      </c>
      <c r="D206">
        <v>1</v>
      </c>
      <c r="E206">
        <v>1</v>
      </c>
      <c r="F206">
        <v>1</v>
      </c>
    </row>
    <row r="207" spans="1:6" x14ac:dyDescent="0.25">
      <c r="B207" t="s">
        <v>281</v>
      </c>
      <c r="D207">
        <v>1</v>
      </c>
      <c r="E207">
        <v>1</v>
      </c>
      <c r="F207">
        <v>1</v>
      </c>
    </row>
    <row r="208" spans="1:6" x14ac:dyDescent="0.25">
      <c r="B208" t="s">
        <v>282</v>
      </c>
      <c r="E208">
        <v>1</v>
      </c>
    </row>
    <row r="209" spans="1:6" x14ac:dyDescent="0.25">
      <c r="B209" t="s">
        <v>283</v>
      </c>
      <c r="E209">
        <v>1</v>
      </c>
    </row>
    <row r="210" spans="1:6" x14ac:dyDescent="0.25">
      <c r="B210" t="s">
        <v>285</v>
      </c>
      <c r="E210">
        <v>1</v>
      </c>
    </row>
    <row r="211" spans="1:6" x14ac:dyDescent="0.25">
      <c r="B211" t="s">
        <v>284</v>
      </c>
      <c r="E211">
        <v>1</v>
      </c>
    </row>
    <row r="212" spans="1:6" x14ac:dyDescent="0.25">
      <c r="B212" t="s">
        <v>286</v>
      </c>
      <c r="E212">
        <v>1</v>
      </c>
    </row>
    <row r="213" spans="1:6" x14ac:dyDescent="0.25">
      <c r="B213" t="s">
        <v>287</v>
      </c>
      <c r="F213">
        <v>1</v>
      </c>
    </row>
    <row r="214" spans="1:6" x14ac:dyDescent="0.25">
      <c r="B214" t="s">
        <v>288</v>
      </c>
      <c r="F214">
        <v>1</v>
      </c>
    </row>
    <row r="215" spans="1:6" x14ac:dyDescent="0.25">
      <c r="B215" t="s">
        <v>289</v>
      </c>
      <c r="F215">
        <v>1</v>
      </c>
    </row>
    <row r="216" spans="1:6" x14ac:dyDescent="0.25">
      <c r="B216" t="s">
        <v>290</v>
      </c>
      <c r="F216">
        <v>1</v>
      </c>
    </row>
    <row r="217" spans="1:6" x14ac:dyDescent="0.25">
      <c r="B217" t="s">
        <v>291</v>
      </c>
      <c r="F217">
        <v>1</v>
      </c>
    </row>
    <row r="218" spans="1:6" x14ac:dyDescent="0.25">
      <c r="B218" t="s">
        <v>292</v>
      </c>
      <c r="F218">
        <v>1</v>
      </c>
    </row>
    <row r="219" spans="1:6" x14ac:dyDescent="0.25">
      <c r="B219" t="s">
        <v>293</v>
      </c>
      <c r="F219">
        <v>1</v>
      </c>
    </row>
    <row r="220" spans="1:6" x14ac:dyDescent="0.25">
      <c r="B220" t="s">
        <v>270</v>
      </c>
      <c r="F220">
        <v>1</v>
      </c>
    </row>
    <row r="221" spans="1:6" x14ac:dyDescent="0.25">
      <c r="B221" t="s">
        <v>294</v>
      </c>
      <c r="F221">
        <v>1</v>
      </c>
    </row>
    <row r="223" spans="1:6" x14ac:dyDescent="0.25">
      <c r="A223" t="s">
        <v>257</v>
      </c>
    </row>
    <row r="224" spans="1:6" x14ac:dyDescent="0.25">
      <c r="B224" t="s">
        <v>258</v>
      </c>
    </row>
    <row r="225" spans="1:2" x14ac:dyDescent="0.25">
      <c r="B225" t="s">
        <v>259</v>
      </c>
    </row>
    <row r="226" spans="1:2" x14ac:dyDescent="0.25">
      <c r="B226" t="s">
        <v>260</v>
      </c>
    </row>
    <row r="232" spans="1:2" x14ac:dyDescent="0.25">
      <c r="A232" t="s">
        <v>261</v>
      </c>
    </row>
    <row r="233" spans="1:2" x14ac:dyDescent="0.25">
      <c r="B233" t="s">
        <v>256</v>
      </c>
    </row>
    <row r="234" spans="1:2" x14ac:dyDescent="0.25">
      <c r="B234" t="s">
        <v>262</v>
      </c>
    </row>
    <row r="235" spans="1:2" x14ac:dyDescent="0.25">
      <c r="B235" t="s">
        <v>263</v>
      </c>
    </row>
    <row r="240" spans="1:2" x14ac:dyDescent="0.25">
      <c r="A240" t="s">
        <v>264</v>
      </c>
    </row>
    <row r="241" spans="2:2" x14ac:dyDescent="0.25">
      <c r="B241" s="102" t="s">
        <v>88</v>
      </c>
    </row>
    <row r="242" spans="2:2" x14ac:dyDescent="0.25">
      <c r="B242" t="s">
        <v>89</v>
      </c>
    </row>
    <row r="243" spans="2:2" x14ac:dyDescent="0.25">
      <c r="B243" t="s">
        <v>265</v>
      </c>
    </row>
    <row r="244" spans="2:2" x14ac:dyDescent="0.25">
      <c r="B244" t="s">
        <v>266</v>
      </c>
    </row>
    <row r="245" spans="2:2" x14ac:dyDescent="0.25">
      <c r="B245" t="s">
        <v>267</v>
      </c>
    </row>
    <row r="246" spans="2:2" x14ac:dyDescent="0.25">
      <c r="B246" t="s">
        <v>268</v>
      </c>
    </row>
    <row r="247" spans="2:2" x14ac:dyDescent="0.25">
      <c r="B247" t="s">
        <v>94</v>
      </c>
    </row>
    <row r="248" spans="2:2" x14ac:dyDescent="0.25">
      <c r="B248" t="s">
        <v>95</v>
      </c>
    </row>
    <row r="249" spans="2:2" x14ac:dyDescent="0.25">
      <c r="B249" t="s">
        <v>96</v>
      </c>
    </row>
    <row r="250" spans="2:2" x14ac:dyDescent="0.25">
      <c r="B250" t="s">
        <v>97</v>
      </c>
    </row>
    <row r="251" spans="2:2" x14ac:dyDescent="0.25">
      <c r="B251" t="s">
        <v>269</v>
      </c>
    </row>
    <row r="252" spans="2:2" x14ac:dyDescent="0.25">
      <c r="B252" t="s">
        <v>98</v>
      </c>
    </row>
  </sheetData>
  <mergeCells count="5">
    <mergeCell ref="Q2:U2"/>
    <mergeCell ref="K2:O2"/>
    <mergeCell ref="K12:O12"/>
    <mergeCell ref="C12:G12"/>
    <mergeCell ref="C2:G2"/>
  </mergeCells>
  <pageMargins left="0.7" right="0.7" top="0.78740157499999996" bottom="0.78740157499999996" header="0.3" footer="0.3"/>
  <ignoredErrors>
    <ignoredError sqref="K24 H156:H178 H141:H148" twoDigitTextYear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B1:AL58"/>
  <sheetViews>
    <sheetView topLeftCell="A13" workbookViewId="0">
      <selection activeCell="AR54" sqref="AR54"/>
    </sheetView>
  </sheetViews>
  <sheetFormatPr defaultColWidth="9.140625" defaultRowHeight="15" x14ac:dyDescent="0.25"/>
  <cols>
    <col min="1" max="1" width="1.7109375" style="104" customWidth="1"/>
    <col min="2" max="2" width="11.7109375" style="104" customWidth="1"/>
    <col min="3" max="3" width="12.7109375" style="115" customWidth="1"/>
    <col min="4" max="15" width="11.7109375" style="103" customWidth="1"/>
    <col min="16" max="16" width="1.7109375" style="103" customWidth="1"/>
    <col min="17" max="21" width="8.7109375" style="103" customWidth="1"/>
    <col min="22" max="22" width="1.7109375" style="103" customWidth="1"/>
    <col min="23" max="23" width="1.7109375" style="104" customWidth="1"/>
    <col min="24" max="30" width="9.140625" style="104"/>
    <col min="31" max="31" width="9.140625" style="104" customWidth="1"/>
    <col min="32" max="16384" width="9.140625" style="104"/>
  </cols>
  <sheetData>
    <row r="1" spans="2:38" ht="20.100000000000001" customHeight="1" x14ac:dyDescent="0.25">
      <c r="B1" s="241" t="s">
        <v>373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162"/>
      <c r="Q1" s="162"/>
      <c r="R1" s="162"/>
      <c r="S1" s="162"/>
      <c r="T1" s="162"/>
      <c r="U1" s="162"/>
      <c r="V1" s="117"/>
      <c r="X1" s="230" t="s">
        <v>307</v>
      </c>
      <c r="Y1" s="231"/>
      <c r="Z1" s="235" t="s">
        <v>306</v>
      </c>
      <c r="AA1" s="236"/>
      <c r="AB1" s="236"/>
      <c r="AC1" s="236"/>
      <c r="AD1" s="237"/>
      <c r="AE1" s="238" t="s">
        <v>305</v>
      </c>
      <c r="AF1" s="239"/>
      <c r="AG1" s="239"/>
      <c r="AH1" s="239"/>
      <c r="AI1" s="240"/>
      <c r="AJ1" s="227" t="s">
        <v>304</v>
      </c>
      <c r="AK1" s="228"/>
      <c r="AL1" s="229"/>
    </row>
    <row r="2" spans="2:38" ht="17.100000000000001" customHeight="1" thickBot="1" x14ac:dyDescent="0.3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162"/>
      <c r="Q2" s="162"/>
      <c r="R2" s="162"/>
      <c r="S2" s="162"/>
      <c r="T2" s="162"/>
      <c r="U2" s="162"/>
      <c r="V2" s="117"/>
      <c r="X2" s="133" t="s">
        <v>300</v>
      </c>
      <c r="Y2" s="136" t="s">
        <v>301</v>
      </c>
      <c r="Z2" s="133" t="s">
        <v>295</v>
      </c>
      <c r="AA2" s="134" t="s">
        <v>296</v>
      </c>
      <c r="AB2" s="134" t="s">
        <v>297</v>
      </c>
      <c r="AC2" s="134" t="s">
        <v>298</v>
      </c>
      <c r="AD2" s="136" t="s">
        <v>299</v>
      </c>
      <c r="AE2" s="133" t="s">
        <v>295</v>
      </c>
      <c r="AF2" s="134" t="s">
        <v>296</v>
      </c>
      <c r="AG2" s="134" t="s">
        <v>297</v>
      </c>
      <c r="AH2" s="134" t="s">
        <v>298</v>
      </c>
      <c r="AI2" s="136" t="s">
        <v>299</v>
      </c>
      <c r="AJ2" s="137" t="s">
        <v>65</v>
      </c>
      <c r="AK2" s="182" t="s">
        <v>363</v>
      </c>
      <c r="AL2" s="135" t="s">
        <v>364</v>
      </c>
    </row>
    <row r="3" spans="2:38" ht="17.100000000000001" customHeight="1" thickBot="1" x14ac:dyDescent="0.3">
      <c r="B3" s="134"/>
      <c r="C3" s="134"/>
      <c r="D3" s="232" t="s">
        <v>370</v>
      </c>
      <c r="E3" s="234"/>
      <c r="F3" s="232" t="s">
        <v>362</v>
      </c>
      <c r="G3" s="233"/>
      <c r="H3" s="233"/>
      <c r="I3" s="233"/>
      <c r="J3" s="234"/>
      <c r="K3" s="232" t="s">
        <v>361</v>
      </c>
      <c r="L3" s="234"/>
      <c r="M3" s="232" t="s">
        <v>360</v>
      </c>
      <c r="N3" s="233"/>
      <c r="O3" s="234"/>
      <c r="P3" s="168"/>
      <c r="Q3" s="168"/>
      <c r="R3" s="168"/>
      <c r="S3" s="168"/>
      <c r="T3" s="162"/>
      <c r="U3" s="162"/>
      <c r="V3" s="117"/>
      <c r="X3" s="105"/>
      <c r="Y3" s="105"/>
      <c r="AK3" s="104" t="s">
        <v>371</v>
      </c>
      <c r="AL3" s="104" t="s">
        <v>372</v>
      </c>
    </row>
    <row r="4" spans="2:38" s="107" customFormat="1" ht="17.100000000000001" customHeight="1" thickBot="1" x14ac:dyDescent="0.3">
      <c r="B4" s="113" t="s">
        <v>303</v>
      </c>
      <c r="C4" s="181" t="s">
        <v>302</v>
      </c>
      <c r="D4" s="209" t="s">
        <v>368</v>
      </c>
      <c r="E4" s="210" t="s">
        <v>369</v>
      </c>
      <c r="F4" s="186" t="s">
        <v>9</v>
      </c>
      <c r="G4" s="116" t="s">
        <v>10</v>
      </c>
      <c r="H4" s="116" t="s">
        <v>11</v>
      </c>
      <c r="I4" s="116" t="s">
        <v>12</v>
      </c>
      <c r="J4" s="172" t="s">
        <v>13</v>
      </c>
      <c r="K4" s="113" t="s">
        <v>308</v>
      </c>
      <c r="L4" s="169" t="s">
        <v>309</v>
      </c>
      <c r="M4" s="113" t="s">
        <v>313</v>
      </c>
      <c r="N4" s="242" t="s">
        <v>314</v>
      </c>
      <c r="O4" s="234"/>
      <c r="P4" s="139"/>
      <c r="Q4" s="139"/>
      <c r="R4" s="139"/>
      <c r="S4" s="139"/>
      <c r="T4" s="139"/>
      <c r="U4" s="139"/>
      <c r="V4" s="139"/>
      <c r="X4" s="118"/>
      <c r="Y4" s="122"/>
      <c r="Z4" s="118"/>
      <c r="AA4" s="119"/>
      <c r="AB4" s="119"/>
      <c r="AC4" s="119"/>
      <c r="AD4" s="122"/>
      <c r="AE4" s="123">
        <v>6</v>
      </c>
      <c r="AF4" s="120">
        <v>4</v>
      </c>
      <c r="AG4" s="120">
        <v>5</v>
      </c>
      <c r="AH4" s="120">
        <v>3</v>
      </c>
      <c r="AI4" s="121">
        <v>2</v>
      </c>
      <c r="AJ4" s="215"/>
      <c r="AK4" s="190">
        <v>8</v>
      </c>
      <c r="AL4" s="216">
        <v>8</v>
      </c>
    </row>
    <row r="5" spans="2:38" ht="17.100000000000001" customHeight="1" x14ac:dyDescent="0.25">
      <c r="B5" s="246" t="str">
        <f>CONCATENATE("Válečník",CHAR(10),"bojovník / šermíř")</f>
        <v>Válečník
bojovník / šermíř</v>
      </c>
      <c r="C5" s="183" t="s">
        <v>1</v>
      </c>
      <c r="D5" s="173">
        <f t="shared" ref="D5:D11" ca="1" si="0">OFFSET(_ZivTab,$Y5-1,0,1,1)+OFFSET(_Bonus,$AG5,0,1,1)+(AK$4-1)*MAX(AK5+OFFSET(_ZivTab,$Y5-1,2,1,1)+OFFSET(_Bonus,$AG5,0,1,1),1)+(AL$4-AK$4)*AL5</f>
        <v>69</v>
      </c>
      <c r="E5" s="211" t="str">
        <f t="shared" ref="E5:E11" ca="1" si="1">IF($Y5=2,IF(AL$4&lt;6,OFFSET(_MagHranTab,AL$4-1,$AH5-6,1,1),CONCATENATE(OFFSET(_MagChodTab,AL$4-6,$AH5-6,1,1)," / ",OFFSET(_MagDruidTab,AL$4-6,$AH5-6,1,1))),IF($Y5=3,OFFSET(_MagAlchTab,IF(AL$4&lt;=9,AL$4-1,8),$AF5-8,1,1),IF($Y5=4,OFFSET(_MagKouzTab,AL$4-1,$AH5-8,1,1),"-")))</f>
        <v>-</v>
      </c>
      <c r="F5" s="187" t="str">
        <f t="shared" ref="F5:J11" ca="1" si="2">CONCATENATE(AE5,"/",IF(OFFSET(_Bonus,AE5,0,1,1)&gt;=0,"+","-"),ABS(OFFSET(_Bonus,AE5,0,1,1)))</f>
        <v>13/+1</v>
      </c>
      <c r="G5" s="112" t="str">
        <f t="shared" ca="1" si="2"/>
        <v>14/+1</v>
      </c>
      <c r="H5" s="112" t="str">
        <f t="shared" ca="1" si="2"/>
        <v>17/+3</v>
      </c>
      <c r="I5" s="112" t="str">
        <f t="shared" ca="1" si="2"/>
        <v>12/+0</v>
      </c>
      <c r="J5" s="174" t="str">
        <f t="shared" ca="1" si="2"/>
        <v>10/+0</v>
      </c>
      <c r="K5" s="175" t="str">
        <f t="shared" ref="K5:K11" ca="1" si="3">CONCATENATE(AH5+IF(OR(C5="Kroll",C5="Barbar",C5="Trpaslík"),5,0),"%")</f>
        <v>12%</v>
      </c>
      <c r="L5" s="174" t="str">
        <f t="shared" ref="L5:L11" ca="1" si="4">CONCATENATE(FLOOR(AH5/2,1)+IF(OR(C5="Elf",C5="Hobit",C5="Kud;k"),5,0),"%")</f>
        <v>11%</v>
      </c>
      <c r="M5" s="173">
        <f t="shared" ref="M5:M11" ca="1" si="5">ROUND(D5*IF(AG5&lt;6,1/4,IF(AG5&lt;12,1/6,IF(AG5&lt;17,1/8,1/D5))),0)</f>
        <v>1</v>
      </c>
      <c r="N5" s="144">
        <f t="shared" ref="N5:N11" ca="1" si="6">FLOOR(D5/3,1)</f>
        <v>23</v>
      </c>
      <c r="O5" s="143">
        <f ca="1">IF(AG5&lt;6,-3,IF(AG5&lt;12,-2,IF(AG5&lt;17,-1,0)))</f>
        <v>0</v>
      </c>
      <c r="P5" s="129"/>
      <c r="Q5" s="129"/>
      <c r="R5" s="129"/>
      <c r="S5" s="129"/>
      <c r="T5" s="129"/>
      <c r="U5" s="129"/>
      <c r="V5" s="129"/>
      <c r="X5" s="124">
        <v>1</v>
      </c>
      <c r="Y5" s="125">
        <v>1</v>
      </c>
      <c r="Z5" s="124">
        <f t="shared" ref="Z5:Z11" ca="1" si="7">IF(OFFSET(_Vlastnosti_Povolani_k6,$Y5-1,0,1,1)=1,OFFSET(_Vlastnosti_Povolani_k6,$Y5-1,0,1,1),OFFSET(_Vlastnosti_Rasa_k6,$X5-1,0,1,1))</f>
        <v>1</v>
      </c>
      <c r="AA5" s="126">
        <f t="shared" ref="AA5:AA11" ca="1" si="8">IF(OFFSET(_Vlastnosti_Povolani_k6,$Y5-1,1,1,1)=1,OFFSET(_Vlastnosti_Povolani_k6,$Y5-1,1,1,1),OFFSET(_Vlastnosti_Rasa_k6,$X5-1,1,1,1))</f>
        <v>1</v>
      </c>
      <c r="AB5" s="126">
        <f t="shared" ref="AB5:AB11" ca="1" si="9">IF(OFFSET(_Vlastnosti_Povolani_k6,$Y5-1,2,1,1)=1,OFFSET(_Vlastnosti_Povolani_k6,$Y5-1,2,1,1),OFFSET(_Vlastnosti_Rasa_k6,$X5-1,2,1,1))</f>
        <v>1</v>
      </c>
      <c r="AC5" s="126">
        <f t="shared" ref="AC5:AC11" ca="1" si="10">IF(OFFSET(_Vlastnosti_Povolani_k6,$Y5-1,3,1,1)=1,OFFSET(_Vlastnosti_Povolani_k6,$Y5-1,3,1,1),OFFSET(_Vlastnosti_Rasa_k6,$X5-1,3,1,1))</f>
        <v>1</v>
      </c>
      <c r="AD5" s="125">
        <f t="shared" ref="AD5:AD11" ca="1" si="11">IF(OFFSET(_Vlastnosti_Povolani_k6,$Y5-1,4,1,1)=1,OFFSET(_Vlastnosti_Povolani_k6,$Y5-1,4,1,1),OFFSET(_Vlastnosti_Rasa_k6,$X5-1,4,1,1))</f>
        <v>2</v>
      </c>
      <c r="AE5" s="124">
        <f t="shared" ref="AE5:AE11" ca="1" si="12">IF(OFFSET(_Vlastnosti_Povolani_k6,$Y5-1,0,1,1)=1,OFFSET(_Vlastnosti_Povolani,$Y5-1,0,1,1)-OFFSET(_Vlastnosti_Povolani_k6,$Y5-1,0,1,1)+Z5*AE$4+OFFSET(_Vlastnosti_Povolani_Oprava,$X5-1,0,1,1),OFFSET(_Vlastnosti_Rasa,$X5-1,0,1,1)-OFFSET(_Vlastnosti_Rasa_k6,$X5-1,0,1,1)+Z5*AE$4)</f>
        <v>13</v>
      </c>
      <c r="AF5" s="126">
        <f t="shared" ref="AF5:AF11" ca="1" si="13">IF(OFFSET(_Vlastnosti_Povolani_k6,$Y5-1,1,1,1)=1,OFFSET(_Vlastnosti_Povolani,$Y5-1,1,1,1)-OFFSET(_Vlastnosti_Povolani_k6,$Y5-1,1,1,1)+AA5*AF$4+OFFSET(_Vlastnosti_Povolani_Oprava,$X5-1,1,1,1),OFFSET(_Vlastnosti_Rasa,$X5-1,1,1,1)-OFFSET(_Vlastnosti_Rasa_k6,$X5-1,1,1,1)+AA5*AF$4)</f>
        <v>14</v>
      </c>
      <c r="AG5" s="126">
        <f t="shared" ref="AG5:AG11" ca="1" si="14">IF(OFFSET(_Vlastnosti_Povolani_k6,$Y5-1,2,1,1)=1,OFFSET(_Vlastnosti_Povolani,$Y5-1,2,1,1)-OFFSET(_Vlastnosti_Povolani_k6,$Y5-1,2,1,1)+AB5*AG$4+OFFSET(_Vlastnosti_Povolani_Oprava,$X5-1,2,1,1),OFFSET(_Vlastnosti_Rasa,$X5-1,2,1,1)-OFFSET(_Vlastnosti_Rasa_k6,$X5-1,2,1,1)+AB5*AG$4)</f>
        <v>17</v>
      </c>
      <c r="AH5" s="126">
        <f t="shared" ref="AH5:AH11" ca="1" si="15">IF(OFFSET(_Vlastnosti_Povolani_k6,$Y5-1,3,1,1)=1,OFFSET(_Vlastnosti_Povolani,$Y5-1,3,1,1)-OFFSET(_Vlastnosti_Povolani_k6,$Y5-1,3,1,1)+AC5*AH$4+OFFSET(_Vlastnosti_Povolani_Oprava,$X5-1,3,1,1),OFFSET(_Vlastnosti_Rasa,$X5-1,3,1,1)-OFFSET(_Vlastnosti_Rasa_k6,$X5-1,3,1,1)+AC5*AH$4)</f>
        <v>12</v>
      </c>
      <c r="AI5" s="125">
        <f t="shared" ref="AI5:AI11" ca="1" si="16">IF(OFFSET(_Vlastnosti_Povolani_k6,$Y5-1,4,1,1)=1,OFFSET(_Vlastnosti_Povolani,$Y5-1,4,1,1)-OFFSET(_Vlastnosti_Povolani_k6,$Y5-1,4,1,1)+AD5*AI$4+OFFSET(_Vlastnosti_Povolani_Oprava,$X5-1,4,1,1),OFFSET(_Vlastnosti_Rasa,$X5-1,4,1,1)-OFFSET(_Vlastnosti_Rasa_k6,$X5-1,4,1,1)+AD5*AI$4)</f>
        <v>10</v>
      </c>
      <c r="AJ5" s="124">
        <f t="shared" ref="AJ5:AJ11" ca="1" si="17">OFFSET(_ZivTab,Y5-1,1,1,1)</f>
        <v>10</v>
      </c>
      <c r="AK5" s="126">
        <f ca="1">$AJ5/2</f>
        <v>5</v>
      </c>
      <c r="AL5" s="125">
        <v>2</v>
      </c>
    </row>
    <row r="6" spans="2:38" ht="17.100000000000001" customHeight="1" x14ac:dyDescent="0.25">
      <c r="B6" s="247"/>
      <c r="C6" s="184" t="s">
        <v>2</v>
      </c>
      <c r="D6" s="170">
        <f t="shared" ca="1" si="0"/>
        <v>69</v>
      </c>
      <c r="E6" s="212" t="str">
        <f t="shared" ca="1" si="1"/>
        <v>-</v>
      </c>
      <c r="F6" s="188" t="str">
        <f t="shared" ca="1" si="2"/>
        <v>15/+2</v>
      </c>
      <c r="G6" s="108" t="str">
        <f t="shared" ca="1" si="2"/>
        <v>13/+1</v>
      </c>
      <c r="H6" s="108" t="str">
        <f t="shared" ca="1" si="2"/>
        <v>18/+3</v>
      </c>
      <c r="I6" s="108" t="str">
        <f t="shared" ca="1" si="2"/>
        <v>11/+0</v>
      </c>
      <c r="J6" s="109" t="str">
        <f t="shared" ca="1" si="2"/>
        <v>8/-1</v>
      </c>
      <c r="K6" s="176" t="str">
        <f t="shared" ca="1" si="3"/>
        <v>11%</v>
      </c>
      <c r="L6" s="109" t="str">
        <f t="shared" ca="1" si="4"/>
        <v>5%</v>
      </c>
      <c r="M6" s="170">
        <f t="shared" ca="1" si="5"/>
        <v>1</v>
      </c>
      <c r="N6" s="145">
        <f t="shared" ca="1" si="6"/>
        <v>23</v>
      </c>
      <c r="O6" s="109">
        <f t="shared" ref="O6:O11" ca="1" si="18">IF(AG6&lt;6,-3,IF(AG6&lt;12,-2,IF(AG6&lt;17,-1,0)))</f>
        <v>0</v>
      </c>
      <c r="P6" s="129"/>
      <c r="Q6" s="129"/>
      <c r="R6" s="129"/>
      <c r="S6" s="129"/>
      <c r="T6" s="129"/>
      <c r="U6" s="129"/>
      <c r="V6" s="129"/>
      <c r="X6" s="127">
        <v>2</v>
      </c>
      <c r="Y6" s="128">
        <v>1</v>
      </c>
      <c r="Z6" s="127">
        <f t="shared" ca="1" si="7"/>
        <v>1</v>
      </c>
      <c r="AA6" s="129">
        <f t="shared" ca="1" si="8"/>
        <v>1</v>
      </c>
      <c r="AB6" s="129">
        <f t="shared" ca="1" si="9"/>
        <v>1</v>
      </c>
      <c r="AC6" s="129">
        <f t="shared" ca="1" si="10"/>
        <v>1</v>
      </c>
      <c r="AD6" s="128">
        <f t="shared" ca="1" si="11"/>
        <v>1</v>
      </c>
      <c r="AE6" s="127">
        <f t="shared" ca="1" si="12"/>
        <v>15</v>
      </c>
      <c r="AF6" s="129">
        <f t="shared" ca="1" si="13"/>
        <v>13</v>
      </c>
      <c r="AG6" s="129">
        <f t="shared" ca="1" si="14"/>
        <v>18</v>
      </c>
      <c r="AH6" s="129">
        <f t="shared" ca="1" si="15"/>
        <v>11</v>
      </c>
      <c r="AI6" s="128">
        <f t="shared" ca="1" si="16"/>
        <v>8</v>
      </c>
      <c r="AJ6" s="127">
        <f t="shared" ca="1" si="17"/>
        <v>10</v>
      </c>
      <c r="AK6" s="129">
        <f t="shared" ref="AK6:AK11" ca="1" si="19">$AJ6/2</f>
        <v>5</v>
      </c>
      <c r="AL6" s="128">
        <v>2</v>
      </c>
    </row>
    <row r="7" spans="2:38" ht="17.100000000000001" customHeight="1" x14ac:dyDescent="0.25">
      <c r="B7" s="247"/>
      <c r="C7" s="184" t="s">
        <v>3</v>
      </c>
      <c r="D7" s="170">
        <f t="shared" ca="1" si="0"/>
        <v>77</v>
      </c>
      <c r="E7" s="212" t="str">
        <f t="shared" ca="1" si="1"/>
        <v>-</v>
      </c>
      <c r="F7" s="188" t="str">
        <f t="shared" ca="1" si="2"/>
        <v>19/+4</v>
      </c>
      <c r="G7" s="108" t="str">
        <f t="shared" ca="1" si="2"/>
        <v>10/+0</v>
      </c>
      <c r="H7" s="108" t="str">
        <f t="shared" ca="1" si="2"/>
        <v>20/+4</v>
      </c>
      <c r="I7" s="108" t="str">
        <f t="shared" ca="1" si="2"/>
        <v>10/+0</v>
      </c>
      <c r="J7" s="109" t="str">
        <f t="shared" ca="1" si="2"/>
        <v>8/-1</v>
      </c>
      <c r="K7" s="176" t="str">
        <f t="shared" ca="1" si="3"/>
        <v>15%</v>
      </c>
      <c r="L7" s="109" t="str">
        <f t="shared" ca="1" si="4"/>
        <v>5%</v>
      </c>
      <c r="M7" s="170">
        <f t="shared" ca="1" si="5"/>
        <v>1</v>
      </c>
      <c r="N7" s="145">
        <f t="shared" ca="1" si="6"/>
        <v>25</v>
      </c>
      <c r="O7" s="109">
        <f t="shared" ca="1" si="18"/>
        <v>0</v>
      </c>
      <c r="P7" s="129"/>
      <c r="Q7" s="129"/>
      <c r="R7" s="129"/>
      <c r="S7" s="129"/>
      <c r="T7" s="129"/>
      <c r="U7" s="129"/>
      <c r="V7" s="129"/>
      <c r="X7" s="127">
        <v>3</v>
      </c>
      <c r="Y7" s="128">
        <v>1</v>
      </c>
      <c r="Z7" s="127">
        <f t="shared" ca="1" si="7"/>
        <v>1</v>
      </c>
      <c r="AA7" s="129">
        <f t="shared" ca="1" si="8"/>
        <v>1</v>
      </c>
      <c r="AB7" s="129">
        <f t="shared" ca="1" si="9"/>
        <v>1</v>
      </c>
      <c r="AC7" s="129">
        <f t="shared" ca="1" si="10"/>
        <v>1</v>
      </c>
      <c r="AD7" s="128">
        <f t="shared" ca="1" si="11"/>
        <v>1</v>
      </c>
      <c r="AE7" s="127">
        <f t="shared" ca="1" si="12"/>
        <v>19</v>
      </c>
      <c r="AF7" s="129">
        <f t="shared" ca="1" si="13"/>
        <v>10</v>
      </c>
      <c r="AG7" s="129">
        <f t="shared" ca="1" si="14"/>
        <v>20</v>
      </c>
      <c r="AH7" s="129">
        <f t="shared" ca="1" si="15"/>
        <v>10</v>
      </c>
      <c r="AI7" s="128">
        <f t="shared" ca="1" si="16"/>
        <v>8</v>
      </c>
      <c r="AJ7" s="127">
        <f t="shared" ca="1" si="17"/>
        <v>10</v>
      </c>
      <c r="AK7" s="129">
        <f t="shared" ca="1" si="19"/>
        <v>5</v>
      </c>
      <c r="AL7" s="128">
        <v>2</v>
      </c>
    </row>
    <row r="8" spans="2:38" ht="17.100000000000001" customHeight="1" x14ac:dyDescent="0.25">
      <c r="B8" s="247"/>
      <c r="C8" s="184" t="s">
        <v>4</v>
      </c>
      <c r="D8" s="170">
        <f t="shared" ca="1" si="0"/>
        <v>53</v>
      </c>
      <c r="E8" s="212" t="str">
        <f t="shared" ca="1" si="1"/>
        <v>-</v>
      </c>
      <c r="F8" s="188" t="str">
        <f t="shared" ca="1" si="2"/>
        <v>18/+3</v>
      </c>
      <c r="G8" s="108" t="str">
        <f t="shared" ca="1" si="2"/>
        <v>13/+1</v>
      </c>
      <c r="H8" s="108" t="str">
        <f t="shared" ca="1" si="2"/>
        <v>13/+1</v>
      </c>
      <c r="I8" s="108" t="str">
        <f t="shared" ca="1" si="2"/>
        <v>14/+1</v>
      </c>
      <c r="J8" s="109" t="str">
        <f t="shared" ca="1" si="2"/>
        <v>10/+0</v>
      </c>
      <c r="K8" s="176" t="str">
        <f t="shared" ca="1" si="3"/>
        <v>14%</v>
      </c>
      <c r="L8" s="109" t="str">
        <f t="shared" ca="1" si="4"/>
        <v>12%</v>
      </c>
      <c r="M8" s="170">
        <f t="shared" ca="1" si="5"/>
        <v>7</v>
      </c>
      <c r="N8" s="145">
        <f t="shared" ca="1" si="6"/>
        <v>17</v>
      </c>
      <c r="O8" s="109">
        <f t="shared" ca="1" si="18"/>
        <v>-1</v>
      </c>
      <c r="P8" s="129"/>
      <c r="Q8" s="129"/>
      <c r="R8" s="129"/>
      <c r="S8" s="129"/>
      <c r="T8" s="129"/>
      <c r="U8" s="129"/>
      <c r="V8" s="129"/>
      <c r="X8" s="127">
        <v>4</v>
      </c>
      <c r="Y8" s="128">
        <v>1</v>
      </c>
      <c r="Z8" s="127">
        <f t="shared" ca="1" si="7"/>
        <v>1</v>
      </c>
      <c r="AA8" s="129">
        <f t="shared" ca="1" si="8"/>
        <v>1</v>
      </c>
      <c r="AB8" s="129">
        <f t="shared" ca="1" si="9"/>
        <v>1</v>
      </c>
      <c r="AC8" s="129">
        <f t="shared" ca="1" si="10"/>
        <v>1</v>
      </c>
      <c r="AD8" s="128">
        <f t="shared" ca="1" si="11"/>
        <v>2</v>
      </c>
      <c r="AE8" s="127">
        <f t="shared" ca="1" si="12"/>
        <v>18</v>
      </c>
      <c r="AF8" s="129">
        <f t="shared" ca="1" si="13"/>
        <v>13</v>
      </c>
      <c r="AG8" s="129">
        <f t="shared" ca="1" si="14"/>
        <v>13</v>
      </c>
      <c r="AH8" s="129">
        <f t="shared" ca="1" si="15"/>
        <v>14</v>
      </c>
      <c r="AI8" s="128">
        <f t="shared" ca="1" si="16"/>
        <v>10</v>
      </c>
      <c r="AJ8" s="127">
        <f t="shared" ca="1" si="17"/>
        <v>10</v>
      </c>
      <c r="AK8" s="129">
        <f t="shared" ca="1" si="19"/>
        <v>5</v>
      </c>
      <c r="AL8" s="128">
        <v>2</v>
      </c>
    </row>
    <row r="9" spans="2:38" ht="17.100000000000001" customHeight="1" x14ac:dyDescent="0.25">
      <c r="B9" s="247"/>
      <c r="C9" s="184" t="s">
        <v>5</v>
      </c>
      <c r="D9" s="170">
        <f t="shared" ca="1" si="0"/>
        <v>69</v>
      </c>
      <c r="E9" s="212" t="str">
        <f t="shared" ca="1" si="1"/>
        <v>-</v>
      </c>
      <c r="F9" s="188" t="str">
        <f t="shared" ca="1" si="2"/>
        <v>18/+3</v>
      </c>
      <c r="G9" s="108" t="str">
        <f t="shared" ca="1" si="2"/>
        <v>12/+0</v>
      </c>
      <c r="H9" s="108" t="str">
        <f t="shared" ca="1" si="2"/>
        <v>17/+3</v>
      </c>
      <c r="I9" s="108" t="str">
        <f t="shared" ca="1" si="2"/>
        <v>12/+0</v>
      </c>
      <c r="J9" s="109" t="str">
        <f t="shared" ca="1" si="2"/>
        <v>5/-3</v>
      </c>
      <c r="K9" s="176" t="str">
        <f t="shared" ca="1" si="3"/>
        <v>12%</v>
      </c>
      <c r="L9" s="109" t="str">
        <f t="shared" ca="1" si="4"/>
        <v>6%</v>
      </c>
      <c r="M9" s="170">
        <f t="shared" ca="1" si="5"/>
        <v>1</v>
      </c>
      <c r="N9" s="145">
        <f t="shared" ca="1" si="6"/>
        <v>23</v>
      </c>
      <c r="O9" s="109">
        <f t="shared" ca="1" si="18"/>
        <v>0</v>
      </c>
      <c r="P9" s="129"/>
      <c r="Q9" s="129"/>
      <c r="R9" s="129"/>
      <c r="S9" s="129"/>
      <c r="T9" s="129"/>
      <c r="U9" s="129"/>
      <c r="V9" s="129"/>
      <c r="X9" s="127">
        <v>5</v>
      </c>
      <c r="Y9" s="128">
        <v>1</v>
      </c>
      <c r="Z9" s="127">
        <f t="shared" ca="1" si="7"/>
        <v>1</v>
      </c>
      <c r="AA9" s="129">
        <f t="shared" ca="1" si="8"/>
        <v>1</v>
      </c>
      <c r="AB9" s="129">
        <f t="shared" ca="1" si="9"/>
        <v>1</v>
      </c>
      <c r="AC9" s="129">
        <f t="shared" ca="1" si="10"/>
        <v>1</v>
      </c>
      <c r="AD9" s="128">
        <f t="shared" ca="1" si="11"/>
        <v>3</v>
      </c>
      <c r="AE9" s="127">
        <f t="shared" ca="1" si="12"/>
        <v>18</v>
      </c>
      <c r="AF9" s="129">
        <f t="shared" ca="1" si="13"/>
        <v>12</v>
      </c>
      <c r="AG9" s="129">
        <f t="shared" ca="1" si="14"/>
        <v>17</v>
      </c>
      <c r="AH9" s="129">
        <f t="shared" ca="1" si="15"/>
        <v>12</v>
      </c>
      <c r="AI9" s="128">
        <f t="shared" ca="1" si="16"/>
        <v>5</v>
      </c>
      <c r="AJ9" s="127">
        <f t="shared" ca="1" si="17"/>
        <v>10</v>
      </c>
      <c r="AK9" s="129">
        <f t="shared" ca="1" si="19"/>
        <v>5</v>
      </c>
      <c r="AL9" s="128">
        <v>2</v>
      </c>
    </row>
    <row r="10" spans="2:38" ht="17.100000000000001" customHeight="1" x14ac:dyDescent="0.25">
      <c r="B10" s="247"/>
      <c r="C10" s="184" t="s">
        <v>6</v>
      </c>
      <c r="D10" s="170">
        <f t="shared" ca="1" si="0"/>
        <v>69</v>
      </c>
      <c r="E10" s="212" t="str">
        <f t="shared" ca="1" si="1"/>
        <v>-</v>
      </c>
      <c r="F10" s="188" t="str">
        <f t="shared" ca="1" si="2"/>
        <v>19/+4</v>
      </c>
      <c r="G10" s="108" t="str">
        <f t="shared" ca="1" si="2"/>
        <v>11/+0</v>
      </c>
      <c r="H10" s="108" t="str">
        <f t="shared" ca="1" si="2"/>
        <v>18/+3</v>
      </c>
      <c r="I10" s="108" t="str">
        <f t="shared" ca="1" si="2"/>
        <v>8/-1</v>
      </c>
      <c r="J10" s="109" t="str">
        <f t="shared" ca="1" si="2"/>
        <v>4/-3</v>
      </c>
      <c r="K10" s="176" t="str">
        <f t="shared" ca="1" si="3"/>
        <v>13%</v>
      </c>
      <c r="L10" s="109" t="str">
        <f t="shared" ca="1" si="4"/>
        <v>4%</v>
      </c>
      <c r="M10" s="170">
        <f t="shared" ca="1" si="5"/>
        <v>1</v>
      </c>
      <c r="N10" s="145">
        <f t="shared" ca="1" si="6"/>
        <v>23</v>
      </c>
      <c r="O10" s="109">
        <f t="shared" ca="1" si="18"/>
        <v>0</v>
      </c>
      <c r="P10" s="129"/>
      <c r="Q10" s="129"/>
      <c r="R10" s="129"/>
      <c r="S10" s="129"/>
      <c r="T10" s="129"/>
      <c r="U10" s="129"/>
      <c r="V10" s="129"/>
      <c r="X10" s="127">
        <v>6</v>
      </c>
      <c r="Y10" s="128">
        <v>1</v>
      </c>
      <c r="Z10" s="127">
        <f t="shared" ca="1" si="7"/>
        <v>1</v>
      </c>
      <c r="AA10" s="129">
        <f t="shared" ca="1" si="8"/>
        <v>1</v>
      </c>
      <c r="AB10" s="129">
        <f t="shared" ca="1" si="9"/>
        <v>1</v>
      </c>
      <c r="AC10" s="129">
        <f t="shared" ca="1" si="10"/>
        <v>1</v>
      </c>
      <c r="AD10" s="128">
        <f t="shared" ca="1" si="11"/>
        <v>3</v>
      </c>
      <c r="AE10" s="127">
        <f t="shared" ca="1" si="12"/>
        <v>19</v>
      </c>
      <c r="AF10" s="129">
        <f t="shared" ca="1" si="13"/>
        <v>11</v>
      </c>
      <c r="AG10" s="129">
        <f t="shared" ca="1" si="14"/>
        <v>18</v>
      </c>
      <c r="AH10" s="129">
        <f t="shared" ca="1" si="15"/>
        <v>8</v>
      </c>
      <c r="AI10" s="128">
        <f t="shared" ca="1" si="16"/>
        <v>4</v>
      </c>
      <c r="AJ10" s="127">
        <f t="shared" ca="1" si="17"/>
        <v>10</v>
      </c>
      <c r="AK10" s="129">
        <f t="shared" ca="1" si="19"/>
        <v>5</v>
      </c>
      <c r="AL10" s="128">
        <v>2</v>
      </c>
    </row>
    <row r="11" spans="2:38" ht="17.100000000000001" customHeight="1" thickBot="1" x14ac:dyDescent="0.3">
      <c r="B11" s="248"/>
      <c r="C11" s="185" t="s">
        <v>7</v>
      </c>
      <c r="D11" s="171">
        <f t="shared" ca="1" si="0"/>
        <v>77</v>
      </c>
      <c r="E11" s="213" t="str">
        <f t="shared" ca="1" si="1"/>
        <v>-</v>
      </c>
      <c r="F11" s="189" t="str">
        <f t="shared" ca="1" si="2"/>
        <v>21/+5</v>
      </c>
      <c r="G11" s="110" t="str">
        <f t="shared" ca="1" si="2"/>
        <v>8/-1</v>
      </c>
      <c r="H11" s="110" t="str">
        <f t="shared" ca="1" si="2"/>
        <v>20/+4</v>
      </c>
      <c r="I11" s="110" t="str">
        <f t="shared" ca="1" si="2"/>
        <v>4/-3</v>
      </c>
      <c r="J11" s="111" t="str">
        <f t="shared" ca="1" si="2"/>
        <v>3/-4</v>
      </c>
      <c r="K11" s="177" t="str">
        <f t="shared" ca="1" si="3"/>
        <v>9%</v>
      </c>
      <c r="L11" s="111" t="str">
        <f t="shared" ca="1" si="4"/>
        <v>2%</v>
      </c>
      <c r="M11" s="171">
        <f t="shared" ca="1" si="5"/>
        <v>1</v>
      </c>
      <c r="N11" s="146">
        <f t="shared" ca="1" si="6"/>
        <v>25</v>
      </c>
      <c r="O11" s="111">
        <f t="shared" ca="1" si="18"/>
        <v>0</v>
      </c>
      <c r="P11" s="129"/>
      <c r="Q11" s="129"/>
      <c r="R11" s="129"/>
      <c r="S11" s="129"/>
      <c r="T11" s="129"/>
      <c r="U11" s="129"/>
      <c r="V11" s="129"/>
      <c r="X11" s="130">
        <v>7</v>
      </c>
      <c r="Y11" s="131">
        <v>1</v>
      </c>
      <c r="Z11" s="130">
        <f t="shared" ca="1" si="7"/>
        <v>1</v>
      </c>
      <c r="AA11" s="132">
        <f t="shared" ca="1" si="8"/>
        <v>1</v>
      </c>
      <c r="AB11" s="132">
        <f t="shared" ca="1" si="9"/>
        <v>1</v>
      </c>
      <c r="AC11" s="132">
        <f t="shared" ca="1" si="10"/>
        <v>1</v>
      </c>
      <c r="AD11" s="131">
        <f t="shared" ca="1" si="11"/>
        <v>2</v>
      </c>
      <c r="AE11" s="130">
        <f t="shared" ca="1" si="12"/>
        <v>21</v>
      </c>
      <c r="AF11" s="132">
        <f t="shared" ca="1" si="13"/>
        <v>8</v>
      </c>
      <c r="AG11" s="132">
        <f t="shared" ca="1" si="14"/>
        <v>20</v>
      </c>
      <c r="AH11" s="132">
        <f t="shared" ca="1" si="15"/>
        <v>4</v>
      </c>
      <c r="AI11" s="131">
        <f t="shared" ca="1" si="16"/>
        <v>3</v>
      </c>
      <c r="AJ11" s="130">
        <f t="shared" ca="1" si="17"/>
        <v>10</v>
      </c>
      <c r="AK11" s="132">
        <f t="shared" ca="1" si="19"/>
        <v>5</v>
      </c>
      <c r="AL11" s="131">
        <v>2</v>
      </c>
    </row>
    <row r="12" spans="2:38" ht="17.100000000000001" customHeight="1" thickBot="1" x14ac:dyDescent="0.3">
      <c r="B12" s="106"/>
    </row>
    <row r="13" spans="2:38" ht="17.100000000000001" customHeight="1" thickBot="1" x14ac:dyDescent="0.3">
      <c r="B13" s="134"/>
      <c r="C13" s="134"/>
      <c r="D13" s="232" t="s">
        <v>370</v>
      </c>
      <c r="E13" s="234"/>
      <c r="F13" s="232" t="s">
        <v>362</v>
      </c>
      <c r="G13" s="233"/>
      <c r="H13" s="233"/>
      <c r="I13" s="233"/>
      <c r="J13" s="234"/>
      <c r="K13" s="232" t="s">
        <v>361</v>
      </c>
      <c r="L13" s="234"/>
      <c r="M13" s="232" t="s">
        <v>360</v>
      </c>
      <c r="N13" s="233"/>
      <c r="O13" s="234"/>
    </row>
    <row r="14" spans="2:38" s="107" customFormat="1" ht="17.100000000000001" customHeight="1" thickBot="1" x14ac:dyDescent="0.3">
      <c r="B14" s="113" t="str">
        <f t="shared" ref="B14:J14" si="20">B$4</f>
        <v>POVOLÁNÍ</v>
      </c>
      <c r="C14" s="113" t="str">
        <f t="shared" si="20"/>
        <v>RASA</v>
      </c>
      <c r="D14" s="209" t="s">
        <v>368</v>
      </c>
      <c r="E14" s="210" t="s">
        <v>369</v>
      </c>
      <c r="F14" s="114" t="str">
        <f t="shared" si="20"/>
        <v>SIL</v>
      </c>
      <c r="G14" s="114" t="str">
        <f t="shared" si="20"/>
        <v>OBR</v>
      </c>
      <c r="H14" s="114" t="str">
        <f t="shared" si="20"/>
        <v>ODL</v>
      </c>
      <c r="I14" s="114" t="str">
        <f t="shared" si="20"/>
        <v>INT</v>
      </c>
      <c r="J14" s="114" t="str">
        <f t="shared" si="20"/>
        <v>CHAR</v>
      </c>
      <c r="K14" s="113" t="str">
        <f t="shared" ref="K14:N14" si="21">K$4</f>
        <v>Obj.</v>
      </c>
      <c r="L14" s="169" t="str">
        <f t="shared" si="21"/>
        <v>Mech.</v>
      </c>
      <c r="M14" s="114" t="str">
        <f t="shared" si="21"/>
        <v>Mez vyř.</v>
      </c>
      <c r="N14" s="242" t="str">
        <f t="shared" si="21"/>
        <v>Postih za 1/3 živ.</v>
      </c>
      <c r="O14" s="234"/>
      <c r="P14" s="139"/>
      <c r="Q14" s="139"/>
      <c r="R14" s="139"/>
      <c r="S14" s="139"/>
      <c r="T14" s="139"/>
      <c r="U14" s="139"/>
      <c r="V14" s="139"/>
      <c r="X14" s="118"/>
      <c r="Y14" s="122"/>
      <c r="Z14" s="118"/>
      <c r="AA14" s="119"/>
      <c r="AB14" s="119"/>
      <c r="AC14" s="119"/>
      <c r="AD14" s="122"/>
      <c r="AE14" s="123">
        <v>6</v>
      </c>
      <c r="AF14" s="120">
        <v>3</v>
      </c>
      <c r="AG14" s="120">
        <v>4</v>
      </c>
      <c r="AH14" s="120">
        <v>5</v>
      </c>
      <c r="AI14" s="121">
        <v>2</v>
      </c>
      <c r="AJ14" s="215"/>
      <c r="AK14" s="190">
        <v>8</v>
      </c>
      <c r="AL14" s="216">
        <v>8</v>
      </c>
    </row>
    <row r="15" spans="2:38" ht="17.100000000000001" customHeight="1" x14ac:dyDescent="0.25">
      <c r="B15" s="246" t="str">
        <f>CONCATENATE("Hraničář",CHAR(10),"chodec / druid")</f>
        <v>Hraničář
chodec / druid</v>
      </c>
      <c r="C15" s="178" t="s">
        <v>1</v>
      </c>
      <c r="D15" s="173">
        <f t="shared" ref="D15:D21" ca="1" si="22">OFFSET(_ZivTab,$Y15-1,0,1,1)+OFFSET(_Bonus,$AG15,0,1,1)+(AK$4-1)*MAX(AK15+OFFSET(_ZivTab,$Y15-1,2,1,1)+OFFSET(_Bonus,$AG15,0,1,1),1)+(AL$4-AK$4)*AL15</f>
        <v>43</v>
      </c>
      <c r="E15" s="214" t="str">
        <f t="shared" ref="E15:E21" ca="1" si="23">IF($Y15=2,IF(AL$14&lt;6,OFFSET(_MagHranTab,AL$14-1,$AH15-6,1,1),CONCATENATE(OFFSET(_MagChodTab,AL$14-6,$AH15-6,1,1)," / ",OFFSET(_MagDruidTab,AL$14-6,$AH15-6,1,1))),IF($Y15=3,OFFSET(_MagAlchTab,IF(AL$14&lt;=9,AL$14-1,8),$AF15-8,1,1),IF($Y15=4,OFFSET(_MagKouzTab,AL$14-1,$AH15-8,1,1),"-")))</f>
        <v>24 / 30</v>
      </c>
      <c r="F15" s="112" t="str">
        <f t="shared" ref="F15:J21" ca="1" si="24">CONCATENATE(AE15,"/",IF(OFFSET(_Bonus,AE15,0,1,1)&gt;=0,"+","-"),ABS(OFFSET(_Bonus,AE15,0,1,1)))</f>
        <v>11/+0</v>
      </c>
      <c r="G15" s="112" t="str">
        <f t="shared" ca="1" si="24"/>
        <v>13/+1</v>
      </c>
      <c r="H15" s="112" t="str">
        <f t="shared" ca="1" si="24"/>
        <v>11/+0</v>
      </c>
      <c r="I15" s="112" t="str">
        <f t="shared" ca="1" si="24"/>
        <v>14/+1</v>
      </c>
      <c r="J15" s="112" t="str">
        <f t="shared" ca="1" si="24"/>
        <v>10/+0</v>
      </c>
      <c r="K15" s="175" t="str">
        <f t="shared" ref="K15:K21" ca="1" si="25">CONCATENATE(AH15+IF(OR(C15="Kroll",C15="Barbar",C15="Trpaslík"),5,0),"%")</f>
        <v>14%</v>
      </c>
      <c r="L15" s="174" t="str">
        <f t="shared" ref="L15:L21" ca="1" si="26">CONCATENATE(FLOOR(AH15/2,1)+IF(OR(C15="Elf",C15="Hobit",C15="Kud;k"),5,0),"%")</f>
        <v>12%</v>
      </c>
      <c r="M15" s="112">
        <f t="shared" ref="M15:M21" ca="1" si="27">ROUND(D15*IF(AG15&lt;6,1/4,IF(AG15&lt;12,1/6,IF(AG15&lt;17,1/8,1/D15))),0)</f>
        <v>7</v>
      </c>
      <c r="N15" s="144">
        <f t="shared" ref="N15:N21" ca="1" si="28">FLOOR(D15/3,1)</f>
        <v>14</v>
      </c>
      <c r="O15" s="143">
        <f ca="1">IF(AG15&lt;6,-3,IF(AG15&lt;12,-2,IF(AG15&lt;17,-1,0)))</f>
        <v>-2</v>
      </c>
      <c r="P15" s="129"/>
      <c r="Q15" s="129"/>
      <c r="R15" s="129"/>
      <c r="S15" s="129"/>
      <c r="T15" s="129"/>
      <c r="U15" s="129"/>
      <c r="V15" s="129"/>
      <c r="X15" s="124">
        <v>1</v>
      </c>
      <c r="Y15" s="125">
        <v>2</v>
      </c>
      <c r="Z15" s="124">
        <f t="shared" ref="Z15:Z21" ca="1" si="29">IF(OFFSET(_Vlastnosti_Povolani_k6,$Y15-1,0,1,1)=1,OFFSET(_Vlastnosti_Povolani_k6,$Y15-1,0,1,1),OFFSET(_Vlastnosti_Rasa_k6,$X15-1,0,1,1))</f>
        <v>1</v>
      </c>
      <c r="AA15" s="126">
        <f t="shared" ref="AA15:AA21" ca="1" si="30">IF(OFFSET(_Vlastnosti_Povolani_k6,$Y15-1,1,1,1)=1,OFFSET(_Vlastnosti_Povolani_k6,$Y15-1,1,1,1),OFFSET(_Vlastnosti_Rasa_k6,$X15-1,1,1,1))</f>
        <v>1</v>
      </c>
      <c r="AB15" s="126">
        <f t="shared" ref="AB15:AB21" ca="1" si="31">IF(OFFSET(_Vlastnosti_Povolani_k6,$Y15-1,2,1,1)=1,OFFSET(_Vlastnosti_Povolani_k6,$Y15-1,2,1,1),OFFSET(_Vlastnosti_Rasa_k6,$X15-1,2,1,1))</f>
        <v>1</v>
      </c>
      <c r="AC15" s="126">
        <f t="shared" ref="AC15:AC21" ca="1" si="32">IF(OFFSET(_Vlastnosti_Povolani_k6,$Y15-1,3,1,1)=1,OFFSET(_Vlastnosti_Povolani_k6,$Y15-1,3,1,1),OFFSET(_Vlastnosti_Rasa_k6,$X15-1,3,1,1))</f>
        <v>1</v>
      </c>
      <c r="AD15" s="125">
        <f t="shared" ref="AD15:AD21" ca="1" si="33">IF(OFFSET(_Vlastnosti_Povolani_k6,$Y15-1,4,1,1)=1,OFFSET(_Vlastnosti_Povolani_k6,$Y15-1,4,1,1),OFFSET(_Vlastnosti_Rasa_k6,$X15-1,4,1,1))</f>
        <v>2</v>
      </c>
      <c r="AE15" s="124">
        <f t="shared" ref="AE15:AE21" ca="1" si="34">IF(OFFSET(_Vlastnosti_Povolani_k6,$Y15-1,0,1,1)=1,OFFSET(_Vlastnosti_Povolani,$Y15-1,0,1,1)-OFFSET(_Vlastnosti_Povolani_k6,$Y15-1,0,1,1)+Z15*AE$14+OFFSET(_Vlastnosti_Povolani_Oprava,$X15-1,0,1,1),OFFSET(_Vlastnosti_Rasa,$X15-1,0,1,1)-OFFSET(_Vlastnosti_Rasa_k6,$X15-1,0,1,1)+Z15*AE$14)</f>
        <v>11</v>
      </c>
      <c r="AF15" s="126">
        <f t="shared" ref="AF15:AF21" ca="1" si="35">IF(OFFSET(_Vlastnosti_Povolani_k6,$Y15-1,1,1,1)=1,OFFSET(_Vlastnosti_Povolani,$Y15-1,1,1,1)-OFFSET(_Vlastnosti_Povolani_k6,$Y15-1,1,1,1)+AA15*AF$14+OFFSET(_Vlastnosti_Povolani_Oprava,$X15-1,1,1,1),OFFSET(_Vlastnosti_Rasa,$X15-1,1,1,1)-OFFSET(_Vlastnosti_Rasa_k6,$X15-1,1,1,1)+AA15*AF$14)</f>
        <v>13</v>
      </c>
      <c r="AG15" s="126">
        <f t="shared" ref="AG15:AG21" ca="1" si="36">IF(OFFSET(_Vlastnosti_Povolani_k6,$Y15-1,2,1,1)=1,OFFSET(_Vlastnosti_Povolani,$Y15-1,2,1,1)-OFFSET(_Vlastnosti_Povolani_k6,$Y15-1,2,1,1)+AB15*AG$14+OFFSET(_Vlastnosti_Povolani_Oprava,$X15-1,2,1,1),OFFSET(_Vlastnosti_Rasa,$X15-1,2,1,1)-OFFSET(_Vlastnosti_Rasa_k6,$X15-1,2,1,1)+AB15*AG$14)</f>
        <v>11</v>
      </c>
      <c r="AH15" s="126">
        <f t="shared" ref="AH15:AH21" ca="1" si="37">IF(OFFSET(_Vlastnosti_Povolani_k6,$Y15-1,3,1,1)=1,OFFSET(_Vlastnosti_Povolani,$Y15-1,3,1,1)-OFFSET(_Vlastnosti_Povolani_k6,$Y15-1,3,1,1)+AC15*AH$14+OFFSET(_Vlastnosti_Povolani_Oprava,$X15-1,3,1,1),OFFSET(_Vlastnosti_Rasa,$X15-1,3,1,1)-OFFSET(_Vlastnosti_Rasa_k6,$X15-1,3,1,1)+AC15*AH$14)</f>
        <v>14</v>
      </c>
      <c r="AI15" s="125">
        <f t="shared" ref="AI15:AI21" ca="1" si="38">IF(OFFSET(_Vlastnosti_Povolani_k6,$Y15-1,4,1,1)=1,OFFSET(_Vlastnosti_Povolani,$Y15-1,4,1,1)-OFFSET(_Vlastnosti_Povolani_k6,$Y15-1,4,1,1)+AD15*AI$14+OFFSET(_Vlastnosti_Povolani_Oprava,$X15-1,4,1,1),OFFSET(_Vlastnosti_Rasa,$X15-1,4,1,1)-OFFSET(_Vlastnosti_Rasa_k6,$X15-1,4,1,1)+AD15*AI$14)</f>
        <v>10</v>
      </c>
      <c r="AJ15" s="124">
        <f t="shared" ref="AJ15:AJ21" ca="1" si="39">OFFSET(_ZivTab,Y15-1,1,1,1)</f>
        <v>6</v>
      </c>
      <c r="AK15" s="126">
        <f ca="1">$AJ15/2</f>
        <v>3</v>
      </c>
      <c r="AL15" s="125">
        <v>2</v>
      </c>
    </row>
    <row r="16" spans="2:38" ht="17.100000000000001" customHeight="1" x14ac:dyDescent="0.25">
      <c r="B16" s="247"/>
      <c r="C16" s="179" t="s">
        <v>2</v>
      </c>
      <c r="D16" s="170">
        <f t="shared" ca="1" si="22"/>
        <v>51</v>
      </c>
      <c r="E16" s="212" t="str">
        <f t="shared" ca="1" si="23"/>
        <v>24 / 30</v>
      </c>
      <c r="F16" s="108" t="str">
        <f t="shared" ca="1" si="24"/>
        <v>13/+1</v>
      </c>
      <c r="G16" s="108" t="str">
        <f t="shared" ca="1" si="24"/>
        <v>12/+0</v>
      </c>
      <c r="H16" s="108" t="str">
        <f t="shared" ca="1" si="24"/>
        <v>13/+1</v>
      </c>
      <c r="I16" s="108" t="str">
        <f t="shared" ca="1" si="24"/>
        <v>14/+1</v>
      </c>
      <c r="J16" s="108" t="str">
        <f t="shared" ca="1" si="24"/>
        <v>8/-1</v>
      </c>
      <c r="K16" s="176" t="str">
        <f t="shared" ca="1" si="25"/>
        <v>14%</v>
      </c>
      <c r="L16" s="109" t="str">
        <f t="shared" ca="1" si="26"/>
        <v>7%</v>
      </c>
      <c r="M16" s="108">
        <f t="shared" ca="1" si="27"/>
        <v>6</v>
      </c>
      <c r="N16" s="145">
        <f t="shared" ca="1" si="28"/>
        <v>17</v>
      </c>
      <c r="O16" s="109">
        <f t="shared" ref="O16:O21" ca="1" si="40">IF(AG16&lt;6,-3,IF(AG16&lt;12,-2,IF(AG16&lt;17,-1,0)))</f>
        <v>-1</v>
      </c>
      <c r="P16" s="129"/>
      <c r="Q16" s="129"/>
      <c r="R16" s="129"/>
      <c r="S16" s="129"/>
      <c r="T16" s="129"/>
      <c r="U16" s="129"/>
      <c r="V16" s="129"/>
      <c r="X16" s="127">
        <v>2</v>
      </c>
      <c r="Y16" s="128">
        <v>2</v>
      </c>
      <c r="Z16" s="127">
        <f t="shared" ca="1" si="29"/>
        <v>1</v>
      </c>
      <c r="AA16" s="129">
        <f t="shared" ca="1" si="30"/>
        <v>1</v>
      </c>
      <c r="AB16" s="129">
        <f t="shared" ca="1" si="31"/>
        <v>1</v>
      </c>
      <c r="AC16" s="129">
        <f t="shared" ca="1" si="32"/>
        <v>1</v>
      </c>
      <c r="AD16" s="128">
        <f t="shared" ca="1" si="33"/>
        <v>1</v>
      </c>
      <c r="AE16" s="127">
        <f t="shared" ca="1" si="34"/>
        <v>13</v>
      </c>
      <c r="AF16" s="129">
        <f t="shared" ca="1" si="35"/>
        <v>12</v>
      </c>
      <c r="AG16" s="129">
        <f t="shared" ca="1" si="36"/>
        <v>13</v>
      </c>
      <c r="AH16" s="129">
        <f t="shared" ca="1" si="37"/>
        <v>14</v>
      </c>
      <c r="AI16" s="128">
        <f t="shared" ca="1" si="38"/>
        <v>8</v>
      </c>
      <c r="AJ16" s="127">
        <f t="shared" ca="1" si="39"/>
        <v>6</v>
      </c>
      <c r="AK16" s="129">
        <f t="shared" ref="AK16:AK21" ca="1" si="41">$AJ16/2</f>
        <v>3</v>
      </c>
      <c r="AL16" s="128">
        <v>2</v>
      </c>
    </row>
    <row r="17" spans="2:38" ht="17.100000000000001" customHeight="1" x14ac:dyDescent="0.25">
      <c r="B17" s="247"/>
      <c r="C17" s="179" t="s">
        <v>3</v>
      </c>
      <c r="D17" s="170">
        <f t="shared" ca="1" si="22"/>
        <v>59</v>
      </c>
      <c r="E17" s="212" t="str">
        <f t="shared" ca="1" si="23"/>
        <v>23 / 29</v>
      </c>
      <c r="F17" s="108" t="str">
        <f t="shared" ca="1" si="24"/>
        <v>17/+3</v>
      </c>
      <c r="G17" s="108" t="str">
        <f t="shared" ca="1" si="24"/>
        <v>9/-1</v>
      </c>
      <c r="H17" s="108" t="str">
        <f t="shared" ca="1" si="24"/>
        <v>15/+2</v>
      </c>
      <c r="I17" s="108" t="str">
        <f t="shared" ca="1" si="24"/>
        <v>13/+1</v>
      </c>
      <c r="J17" s="108" t="str">
        <f t="shared" ca="1" si="24"/>
        <v>8/-1</v>
      </c>
      <c r="K17" s="176" t="str">
        <f t="shared" ca="1" si="25"/>
        <v>18%</v>
      </c>
      <c r="L17" s="109" t="str">
        <f t="shared" ca="1" si="26"/>
        <v>6%</v>
      </c>
      <c r="M17" s="108">
        <f t="shared" ca="1" si="27"/>
        <v>7</v>
      </c>
      <c r="N17" s="145">
        <f t="shared" ca="1" si="28"/>
        <v>19</v>
      </c>
      <c r="O17" s="109">
        <f t="shared" ca="1" si="40"/>
        <v>-1</v>
      </c>
      <c r="P17" s="129"/>
      <c r="Q17" s="129"/>
      <c r="R17" s="129"/>
      <c r="S17" s="129"/>
      <c r="T17" s="129"/>
      <c r="U17" s="129"/>
      <c r="V17" s="129"/>
      <c r="X17" s="127">
        <v>3</v>
      </c>
      <c r="Y17" s="128">
        <v>2</v>
      </c>
      <c r="Z17" s="127">
        <f t="shared" ca="1" si="29"/>
        <v>1</v>
      </c>
      <c r="AA17" s="129">
        <f t="shared" ca="1" si="30"/>
        <v>1</v>
      </c>
      <c r="AB17" s="129">
        <f t="shared" ca="1" si="31"/>
        <v>1</v>
      </c>
      <c r="AC17" s="129">
        <f t="shared" ca="1" si="32"/>
        <v>1</v>
      </c>
      <c r="AD17" s="128">
        <f t="shared" ca="1" si="33"/>
        <v>1</v>
      </c>
      <c r="AE17" s="127">
        <f t="shared" ca="1" si="34"/>
        <v>17</v>
      </c>
      <c r="AF17" s="129">
        <f t="shared" ca="1" si="35"/>
        <v>9</v>
      </c>
      <c r="AG17" s="129">
        <f t="shared" ca="1" si="36"/>
        <v>15</v>
      </c>
      <c r="AH17" s="129">
        <f t="shared" ca="1" si="37"/>
        <v>13</v>
      </c>
      <c r="AI17" s="128">
        <f t="shared" ca="1" si="38"/>
        <v>8</v>
      </c>
      <c r="AJ17" s="127">
        <f t="shared" ca="1" si="39"/>
        <v>6</v>
      </c>
      <c r="AK17" s="129">
        <f t="shared" ca="1" si="41"/>
        <v>3</v>
      </c>
      <c r="AL17" s="128">
        <v>2</v>
      </c>
    </row>
    <row r="18" spans="2:38" ht="17.100000000000001" customHeight="1" x14ac:dyDescent="0.25">
      <c r="B18" s="247"/>
      <c r="C18" s="179" t="s">
        <v>4</v>
      </c>
      <c r="D18" s="170">
        <f t="shared" ca="1" si="22"/>
        <v>35</v>
      </c>
      <c r="E18" s="212" t="str">
        <f t="shared" ca="1" si="23"/>
        <v>25 / 32</v>
      </c>
      <c r="F18" s="108" t="str">
        <f t="shared" ca="1" si="24"/>
        <v>16/+2</v>
      </c>
      <c r="G18" s="108" t="str">
        <f t="shared" ca="1" si="24"/>
        <v>12/+0</v>
      </c>
      <c r="H18" s="108" t="str">
        <f t="shared" ca="1" si="24"/>
        <v>9/-1</v>
      </c>
      <c r="I18" s="108" t="str">
        <f t="shared" ca="1" si="24"/>
        <v>18/+3</v>
      </c>
      <c r="J18" s="108" t="str">
        <f t="shared" ca="1" si="24"/>
        <v>10/+0</v>
      </c>
      <c r="K18" s="176" t="str">
        <f t="shared" ca="1" si="25"/>
        <v>18%</v>
      </c>
      <c r="L18" s="109" t="str">
        <f t="shared" ca="1" si="26"/>
        <v>14%</v>
      </c>
      <c r="M18" s="108">
        <f t="shared" ca="1" si="27"/>
        <v>6</v>
      </c>
      <c r="N18" s="145">
        <f t="shared" ca="1" si="28"/>
        <v>11</v>
      </c>
      <c r="O18" s="109">
        <f t="shared" ca="1" si="40"/>
        <v>-2</v>
      </c>
      <c r="P18" s="129"/>
      <c r="Q18" s="129"/>
      <c r="R18" s="129"/>
      <c r="S18" s="129"/>
      <c r="T18" s="129"/>
      <c r="U18" s="129"/>
      <c r="V18" s="129"/>
      <c r="X18" s="127">
        <v>4</v>
      </c>
      <c r="Y18" s="128">
        <v>2</v>
      </c>
      <c r="Z18" s="127">
        <f t="shared" ca="1" si="29"/>
        <v>1</v>
      </c>
      <c r="AA18" s="129">
        <f t="shared" ca="1" si="30"/>
        <v>1</v>
      </c>
      <c r="AB18" s="129">
        <f t="shared" ca="1" si="31"/>
        <v>1</v>
      </c>
      <c r="AC18" s="129">
        <f t="shared" ca="1" si="32"/>
        <v>1</v>
      </c>
      <c r="AD18" s="128">
        <f t="shared" ca="1" si="33"/>
        <v>2</v>
      </c>
      <c r="AE18" s="127">
        <f t="shared" ca="1" si="34"/>
        <v>16</v>
      </c>
      <c r="AF18" s="129">
        <f t="shared" ca="1" si="35"/>
        <v>12</v>
      </c>
      <c r="AG18" s="129">
        <f t="shared" ca="1" si="36"/>
        <v>9</v>
      </c>
      <c r="AH18" s="129">
        <f t="shared" ca="1" si="37"/>
        <v>18</v>
      </c>
      <c r="AI18" s="128">
        <f t="shared" ca="1" si="38"/>
        <v>10</v>
      </c>
      <c r="AJ18" s="127">
        <f t="shared" ca="1" si="39"/>
        <v>6</v>
      </c>
      <c r="AK18" s="129">
        <f t="shared" ca="1" si="41"/>
        <v>3</v>
      </c>
      <c r="AL18" s="128">
        <v>2</v>
      </c>
    </row>
    <row r="19" spans="2:38" ht="17.100000000000001" customHeight="1" x14ac:dyDescent="0.25">
      <c r="B19" s="247"/>
      <c r="C19" s="179" t="s">
        <v>5</v>
      </c>
      <c r="D19" s="170">
        <f t="shared" ca="1" si="22"/>
        <v>43</v>
      </c>
      <c r="E19" s="212" t="str">
        <f t="shared" ca="1" si="23"/>
        <v>25 / 31</v>
      </c>
      <c r="F19" s="108" t="str">
        <f t="shared" ca="1" si="24"/>
        <v>16/+2</v>
      </c>
      <c r="G19" s="108" t="str">
        <f t="shared" ca="1" si="24"/>
        <v>11/+0</v>
      </c>
      <c r="H19" s="108" t="str">
        <f t="shared" ca="1" si="24"/>
        <v>12/+0</v>
      </c>
      <c r="I19" s="108" t="str">
        <f t="shared" ca="1" si="24"/>
        <v>16/+2</v>
      </c>
      <c r="J19" s="108" t="str">
        <f t="shared" ca="1" si="24"/>
        <v>5/-3</v>
      </c>
      <c r="K19" s="176" t="str">
        <f t="shared" ca="1" si="25"/>
        <v>16%</v>
      </c>
      <c r="L19" s="109" t="str">
        <f t="shared" ca="1" si="26"/>
        <v>8%</v>
      </c>
      <c r="M19" s="108">
        <f t="shared" ca="1" si="27"/>
        <v>5</v>
      </c>
      <c r="N19" s="145">
        <f t="shared" ca="1" si="28"/>
        <v>14</v>
      </c>
      <c r="O19" s="109">
        <f t="shared" ca="1" si="40"/>
        <v>-1</v>
      </c>
      <c r="P19" s="129"/>
      <c r="Q19" s="129"/>
      <c r="R19" s="129"/>
      <c r="S19" s="129"/>
      <c r="T19" s="129"/>
      <c r="U19" s="129"/>
      <c r="V19" s="129"/>
      <c r="X19" s="127">
        <v>5</v>
      </c>
      <c r="Y19" s="128">
        <v>2</v>
      </c>
      <c r="Z19" s="127">
        <f t="shared" ca="1" si="29"/>
        <v>1</v>
      </c>
      <c r="AA19" s="129">
        <f t="shared" ca="1" si="30"/>
        <v>1</v>
      </c>
      <c r="AB19" s="129">
        <f t="shared" ca="1" si="31"/>
        <v>1</v>
      </c>
      <c r="AC19" s="129">
        <f t="shared" ca="1" si="32"/>
        <v>1</v>
      </c>
      <c r="AD19" s="128">
        <f t="shared" ca="1" si="33"/>
        <v>3</v>
      </c>
      <c r="AE19" s="127">
        <f t="shared" ca="1" si="34"/>
        <v>16</v>
      </c>
      <c r="AF19" s="129">
        <f t="shared" ca="1" si="35"/>
        <v>11</v>
      </c>
      <c r="AG19" s="129">
        <f t="shared" ca="1" si="36"/>
        <v>12</v>
      </c>
      <c r="AH19" s="129">
        <f t="shared" ca="1" si="37"/>
        <v>16</v>
      </c>
      <c r="AI19" s="128">
        <f t="shared" ca="1" si="38"/>
        <v>5</v>
      </c>
      <c r="AJ19" s="127">
        <f t="shared" ca="1" si="39"/>
        <v>6</v>
      </c>
      <c r="AK19" s="129">
        <f t="shared" ca="1" si="41"/>
        <v>3</v>
      </c>
      <c r="AL19" s="128">
        <v>2</v>
      </c>
    </row>
    <row r="20" spans="2:38" ht="17.100000000000001" customHeight="1" x14ac:dyDescent="0.25">
      <c r="B20" s="247"/>
      <c r="C20" s="179" t="s">
        <v>6</v>
      </c>
      <c r="D20" s="170">
        <f t="shared" ca="1" si="22"/>
        <v>51</v>
      </c>
      <c r="E20" s="212" t="str">
        <f t="shared" ca="1" si="23"/>
        <v>25 / 31</v>
      </c>
      <c r="F20" s="108" t="str">
        <f t="shared" ca="1" si="24"/>
        <v>17/+3</v>
      </c>
      <c r="G20" s="108" t="str">
        <f t="shared" ca="1" si="24"/>
        <v>10/+0</v>
      </c>
      <c r="H20" s="108" t="str">
        <f t="shared" ca="1" si="24"/>
        <v>14/+1</v>
      </c>
      <c r="I20" s="108" t="str">
        <f t="shared" ca="1" si="24"/>
        <v>16/+2</v>
      </c>
      <c r="J20" s="108" t="str">
        <f t="shared" ca="1" si="24"/>
        <v>4/-3</v>
      </c>
      <c r="K20" s="176" t="str">
        <f t="shared" ca="1" si="25"/>
        <v>21%</v>
      </c>
      <c r="L20" s="109" t="str">
        <f t="shared" ca="1" si="26"/>
        <v>8%</v>
      </c>
      <c r="M20" s="108">
        <f t="shared" ca="1" si="27"/>
        <v>6</v>
      </c>
      <c r="N20" s="145">
        <f t="shared" ca="1" si="28"/>
        <v>17</v>
      </c>
      <c r="O20" s="109">
        <f t="shared" ca="1" si="40"/>
        <v>-1</v>
      </c>
      <c r="P20" s="129"/>
      <c r="Q20" s="129"/>
      <c r="R20" s="129"/>
      <c r="S20" s="129"/>
      <c r="T20" s="129"/>
      <c r="U20" s="129"/>
      <c r="V20" s="129"/>
      <c r="X20" s="127">
        <v>6</v>
      </c>
      <c r="Y20" s="128">
        <v>2</v>
      </c>
      <c r="Z20" s="127">
        <f t="shared" ca="1" si="29"/>
        <v>1</v>
      </c>
      <c r="AA20" s="129">
        <f t="shared" ca="1" si="30"/>
        <v>1</v>
      </c>
      <c r="AB20" s="129">
        <f t="shared" ca="1" si="31"/>
        <v>1</v>
      </c>
      <c r="AC20" s="129">
        <f t="shared" ca="1" si="32"/>
        <v>1</v>
      </c>
      <c r="AD20" s="128">
        <f t="shared" ca="1" si="33"/>
        <v>3</v>
      </c>
      <c r="AE20" s="127">
        <f t="shared" ca="1" si="34"/>
        <v>17</v>
      </c>
      <c r="AF20" s="129">
        <f t="shared" ca="1" si="35"/>
        <v>10</v>
      </c>
      <c r="AG20" s="129">
        <f t="shared" ca="1" si="36"/>
        <v>14</v>
      </c>
      <c r="AH20" s="129">
        <f t="shared" ca="1" si="37"/>
        <v>16</v>
      </c>
      <c r="AI20" s="128">
        <f t="shared" ca="1" si="38"/>
        <v>4</v>
      </c>
      <c r="AJ20" s="127">
        <f t="shared" ca="1" si="39"/>
        <v>6</v>
      </c>
      <c r="AK20" s="129">
        <f t="shared" ca="1" si="41"/>
        <v>3</v>
      </c>
      <c r="AL20" s="128">
        <v>2</v>
      </c>
    </row>
    <row r="21" spans="2:38" ht="17.100000000000001" customHeight="1" thickBot="1" x14ac:dyDescent="0.3">
      <c r="B21" s="248"/>
      <c r="C21" s="180" t="s">
        <v>7</v>
      </c>
      <c r="D21" s="171">
        <f t="shared" ca="1" si="22"/>
        <v>59</v>
      </c>
      <c r="E21" s="213" t="str">
        <f t="shared" ca="1" si="23"/>
        <v>22 / 27</v>
      </c>
      <c r="F21" s="110" t="str">
        <f t="shared" ca="1" si="24"/>
        <v>19/+4</v>
      </c>
      <c r="G21" s="110" t="str">
        <f t="shared" ca="1" si="24"/>
        <v>7/-2</v>
      </c>
      <c r="H21" s="110" t="str">
        <f t="shared" ca="1" si="24"/>
        <v>16/+2</v>
      </c>
      <c r="I21" s="110" t="str">
        <f t="shared" ca="1" si="24"/>
        <v>10/+0</v>
      </c>
      <c r="J21" s="110" t="str">
        <f t="shared" ca="1" si="24"/>
        <v>3/-4</v>
      </c>
      <c r="K21" s="177" t="str">
        <f t="shared" ca="1" si="25"/>
        <v>15%</v>
      </c>
      <c r="L21" s="111" t="str">
        <f t="shared" ca="1" si="26"/>
        <v>5%</v>
      </c>
      <c r="M21" s="110">
        <f t="shared" ca="1" si="27"/>
        <v>7</v>
      </c>
      <c r="N21" s="146">
        <f t="shared" ca="1" si="28"/>
        <v>19</v>
      </c>
      <c r="O21" s="111">
        <f t="shared" ca="1" si="40"/>
        <v>-1</v>
      </c>
      <c r="P21" s="129"/>
      <c r="Q21" s="129"/>
      <c r="R21" s="129"/>
      <c r="S21" s="129"/>
      <c r="T21" s="129"/>
      <c r="U21" s="129"/>
      <c r="V21" s="129"/>
      <c r="X21" s="130">
        <v>7</v>
      </c>
      <c r="Y21" s="131">
        <v>2</v>
      </c>
      <c r="Z21" s="130">
        <f t="shared" ca="1" si="29"/>
        <v>1</v>
      </c>
      <c r="AA21" s="132">
        <f t="shared" ca="1" si="30"/>
        <v>1</v>
      </c>
      <c r="AB21" s="132">
        <f t="shared" ca="1" si="31"/>
        <v>1</v>
      </c>
      <c r="AC21" s="132">
        <f t="shared" ca="1" si="32"/>
        <v>1</v>
      </c>
      <c r="AD21" s="131">
        <f t="shared" ca="1" si="33"/>
        <v>2</v>
      </c>
      <c r="AE21" s="130">
        <f t="shared" ca="1" si="34"/>
        <v>19</v>
      </c>
      <c r="AF21" s="132">
        <f t="shared" ca="1" si="35"/>
        <v>7</v>
      </c>
      <c r="AG21" s="132">
        <f t="shared" ca="1" si="36"/>
        <v>16</v>
      </c>
      <c r="AH21" s="132">
        <f t="shared" ca="1" si="37"/>
        <v>10</v>
      </c>
      <c r="AI21" s="131">
        <f t="shared" ca="1" si="38"/>
        <v>3</v>
      </c>
      <c r="AJ21" s="130">
        <f t="shared" ca="1" si="39"/>
        <v>6</v>
      </c>
      <c r="AK21" s="132">
        <f t="shared" ca="1" si="41"/>
        <v>3</v>
      </c>
      <c r="AL21" s="131">
        <v>2</v>
      </c>
    </row>
    <row r="22" spans="2:38" ht="17.100000000000001" customHeight="1" thickBot="1" x14ac:dyDescent="0.3">
      <c r="B22" s="106"/>
      <c r="I22" s="105"/>
    </row>
    <row r="23" spans="2:38" ht="17.100000000000001" customHeight="1" thickBot="1" x14ac:dyDescent="0.3">
      <c r="B23" s="134"/>
      <c r="C23" s="134"/>
      <c r="D23" s="232" t="s">
        <v>370</v>
      </c>
      <c r="E23" s="234"/>
      <c r="F23" s="232" t="s">
        <v>362</v>
      </c>
      <c r="G23" s="233"/>
      <c r="H23" s="233"/>
      <c r="I23" s="233"/>
      <c r="J23" s="234"/>
      <c r="K23" s="232" t="s">
        <v>361</v>
      </c>
      <c r="L23" s="234"/>
      <c r="M23" s="232" t="s">
        <v>360</v>
      </c>
      <c r="N23" s="233"/>
      <c r="O23" s="234"/>
    </row>
    <row r="24" spans="2:38" s="107" customFormat="1" ht="17.100000000000001" customHeight="1" thickBot="1" x14ac:dyDescent="0.3">
      <c r="B24" s="113" t="str">
        <f t="shared" ref="B24:J24" si="42">B$4</f>
        <v>POVOLÁNÍ</v>
      </c>
      <c r="C24" s="113" t="str">
        <f t="shared" si="42"/>
        <v>RASA</v>
      </c>
      <c r="D24" s="209" t="s">
        <v>368</v>
      </c>
      <c r="E24" s="210" t="s">
        <v>369</v>
      </c>
      <c r="F24" s="114" t="str">
        <f t="shared" si="42"/>
        <v>SIL</v>
      </c>
      <c r="G24" s="114" t="str">
        <f t="shared" si="42"/>
        <v>OBR</v>
      </c>
      <c r="H24" s="114" t="str">
        <f t="shared" si="42"/>
        <v>ODL</v>
      </c>
      <c r="I24" s="114" t="str">
        <f t="shared" si="42"/>
        <v>INT</v>
      </c>
      <c r="J24" s="114" t="str">
        <f t="shared" si="42"/>
        <v>CHAR</v>
      </c>
      <c r="K24" s="113" t="str">
        <f t="shared" ref="K24:N24" si="43">K$4</f>
        <v>Obj.</v>
      </c>
      <c r="L24" s="169" t="str">
        <f t="shared" si="43"/>
        <v>Mech.</v>
      </c>
      <c r="M24" s="114" t="str">
        <f t="shared" si="43"/>
        <v>Mez vyř.</v>
      </c>
      <c r="N24" s="242" t="str">
        <f t="shared" si="43"/>
        <v>Postih za 1/3 živ.</v>
      </c>
      <c r="O24" s="234"/>
      <c r="P24" s="139"/>
      <c r="Q24" s="139"/>
      <c r="R24" s="139"/>
      <c r="S24" s="139"/>
      <c r="T24" s="139"/>
      <c r="U24" s="139"/>
      <c r="V24" s="139"/>
      <c r="X24" s="118"/>
      <c r="Y24" s="122"/>
      <c r="Z24" s="118"/>
      <c r="AA24" s="119"/>
      <c r="AB24" s="119"/>
      <c r="AC24" s="119"/>
      <c r="AD24" s="122"/>
      <c r="AE24" s="123">
        <v>4</v>
      </c>
      <c r="AF24" s="120">
        <v>6</v>
      </c>
      <c r="AG24" s="120">
        <v>5</v>
      </c>
      <c r="AH24" s="120">
        <v>3</v>
      </c>
      <c r="AI24" s="121">
        <v>2</v>
      </c>
      <c r="AJ24" s="215"/>
      <c r="AK24" s="190">
        <v>8</v>
      </c>
      <c r="AL24" s="216">
        <v>8</v>
      </c>
    </row>
    <row r="25" spans="2:38" ht="17.100000000000001" customHeight="1" x14ac:dyDescent="0.25">
      <c r="B25" s="246" t="str">
        <f>CONCATENATE("Alchymista",CHAR(10),"theurgh / pyrofor")</f>
        <v>Alchymista
theurgh / pyrofor</v>
      </c>
      <c r="C25" s="178" t="s">
        <v>1</v>
      </c>
      <c r="D25" s="173">
        <f t="shared" ref="D25:D31" ca="1" si="44">OFFSET(_ZivTab,$Y25-1,0,1,1)+OFFSET(_Bonus,$AG25,0,1,1)+(AK$4-1)*MAX(AK25+OFFSET(_ZivTab,$Y25-1,2,1,1)+OFFSET(_Bonus,$AG25,0,1,1),1)+(AL$4-AK$4)*AL25</f>
        <v>51</v>
      </c>
      <c r="E25" s="217">
        <f t="shared" ref="E25:E31" ca="1" si="45">IF($Y25=2,IF(AL$24&lt;6,OFFSET(_MagHranTab,AL$24-1,$AH25-6,1,1),CONCATENATE(OFFSET(_MagChodTab,AL$24-6,$AH25-6,1,1)," / ",OFFSET(_MagDruidTab,AL$24-6,$AH25-6,1,1))),IF($Y25=3,OFFSET(_MagAlchTab,IF(AL$24&lt;=9,AL$24-1,8),$AF25-8,1,1),IF($Y25=4,OFFSET(_MagKouzTab,AL$24-1,$AH25-8,1,1),"-")))</f>
        <v>540</v>
      </c>
      <c r="F25" s="112" t="str">
        <f t="shared" ref="F25:J31" ca="1" si="46">CONCATENATE(AE25,"/",IF(OFFSET(_Bonus,AE25,0,1,1)&gt;=0,"+","-"),ABS(OFFSET(_Bonus,AE25,0,1,1)))</f>
        <v>6/-2</v>
      </c>
      <c r="G25" s="112" t="str">
        <f t="shared" ca="1" si="46"/>
        <v>20/+4</v>
      </c>
      <c r="H25" s="112" t="str">
        <f t="shared" ca="1" si="46"/>
        <v>16/+2</v>
      </c>
      <c r="I25" s="112" t="str">
        <f t="shared" ca="1" si="46"/>
        <v>12/+0</v>
      </c>
      <c r="J25" s="112" t="str">
        <f t="shared" ca="1" si="46"/>
        <v>10/+0</v>
      </c>
      <c r="K25" s="175" t="str">
        <f t="shared" ref="K25:K31" ca="1" si="47">CONCATENATE(AH25+IF(OR(C25="Kroll",C25="Barbar",C25="Trpaslík"),5,0),"%")</f>
        <v>12%</v>
      </c>
      <c r="L25" s="174" t="str">
        <f t="shared" ref="L25:L31" ca="1" si="48">CONCATENATE(FLOOR(AH25/2,1)+IF(OR(C25="Elf",C25="Hobit",C25="Kud;k"),5,0),"%")</f>
        <v>11%</v>
      </c>
      <c r="M25" s="112">
        <f t="shared" ref="M25:M31" ca="1" si="49">ROUND(D25*IF(AG25&lt;6,1/4,IF(AG25&lt;12,1/6,IF(AG25&lt;17,1/8,1/D25))),0)</f>
        <v>6</v>
      </c>
      <c r="N25" s="144">
        <f t="shared" ref="N25:N31" ca="1" si="50">FLOOR(D25/3,1)</f>
        <v>17</v>
      </c>
      <c r="O25" s="143">
        <f ca="1">IF(AG25&lt;6,-3,IF(AG25&lt;12,-2,IF(AG25&lt;17,-1,0)))</f>
        <v>-1</v>
      </c>
      <c r="P25" s="129"/>
      <c r="Q25" s="129"/>
      <c r="R25" s="129"/>
      <c r="S25" s="129"/>
      <c r="T25" s="129"/>
      <c r="U25" s="129"/>
      <c r="V25" s="129"/>
      <c r="X25" s="124">
        <v>1</v>
      </c>
      <c r="Y25" s="125">
        <v>3</v>
      </c>
      <c r="Z25" s="124">
        <f t="shared" ref="Z25:Z31" ca="1" si="51">IF(OFFSET(_Vlastnosti_Povolani_k6,$Y25-1,0,1,1)=1,OFFSET(_Vlastnosti_Povolani_k6,$Y25-1,0,1,1),OFFSET(_Vlastnosti_Rasa_k6,$X25-1,0,1,1))</f>
        <v>1</v>
      </c>
      <c r="AA25" s="126">
        <f t="shared" ref="AA25:AA31" ca="1" si="52">IF(OFFSET(_Vlastnosti_Povolani_k6,$Y25-1,1,1,1)=1,OFFSET(_Vlastnosti_Povolani_k6,$Y25-1,1,1,1),OFFSET(_Vlastnosti_Rasa_k6,$X25-1,1,1,1))</f>
        <v>1</v>
      </c>
      <c r="AB25" s="126">
        <f t="shared" ref="AB25:AB31" ca="1" si="53">IF(OFFSET(_Vlastnosti_Povolani_k6,$Y25-1,2,1,1)=1,OFFSET(_Vlastnosti_Povolani_k6,$Y25-1,2,1,1),OFFSET(_Vlastnosti_Rasa_k6,$X25-1,2,1,1))</f>
        <v>1</v>
      </c>
      <c r="AC25" s="126">
        <f t="shared" ref="AC25:AC31" ca="1" si="54">IF(OFFSET(_Vlastnosti_Povolani_k6,$Y25-1,3,1,1)=1,OFFSET(_Vlastnosti_Povolani_k6,$Y25-1,3,1,1),OFFSET(_Vlastnosti_Rasa_k6,$X25-1,3,1,1))</f>
        <v>1</v>
      </c>
      <c r="AD25" s="125">
        <f t="shared" ref="AD25:AD31" ca="1" si="55">IF(OFFSET(_Vlastnosti_Povolani_k6,$Y25-1,4,1,1)=1,OFFSET(_Vlastnosti_Povolani_k6,$Y25-1,4,1,1),OFFSET(_Vlastnosti_Rasa_k6,$X25-1,4,1,1))</f>
        <v>2</v>
      </c>
      <c r="AE25" s="124">
        <f t="shared" ref="AE25:AE31" ca="1" si="56">IF(OFFSET(_Vlastnosti_Povolani_k6,$Y25-1,0,1,1)=1,OFFSET(_Vlastnosti_Povolani,$Y25-1,0,1,1)-OFFSET(_Vlastnosti_Povolani_k6,$Y25-1,0,1,1)+Z25*AE$24+OFFSET(_Vlastnosti_Povolani_Oprava,$X25-1,0,1,1),OFFSET(_Vlastnosti_Rasa,$X25-1,0,1,1)-OFFSET(_Vlastnosti_Rasa_k6,$X25-1,0,1,1)+Z25*AE$24)</f>
        <v>6</v>
      </c>
      <c r="AF25" s="126">
        <f t="shared" ref="AF25:AF31" ca="1" si="57">IF(OFFSET(_Vlastnosti_Povolani_k6,$Y25-1,1,1,1)=1,OFFSET(_Vlastnosti_Povolani,$Y25-1,1,1,1)-OFFSET(_Vlastnosti_Povolani_k6,$Y25-1,1,1,1)+AA25*AF$24+OFFSET(_Vlastnosti_Povolani_Oprava,$X25-1,1,1,1),OFFSET(_Vlastnosti_Rasa,$X25-1,1,1,1)-OFFSET(_Vlastnosti_Rasa_k6,$X25-1,1,1,1)+AA25*AF$24)</f>
        <v>20</v>
      </c>
      <c r="AG25" s="126">
        <f t="shared" ref="AG25:AG31" ca="1" si="58">IF(OFFSET(_Vlastnosti_Povolani_k6,$Y25-1,2,1,1)=1,OFFSET(_Vlastnosti_Povolani,$Y25-1,2,1,1)-OFFSET(_Vlastnosti_Povolani_k6,$Y25-1,2,1,1)+AB25*AG$24+OFFSET(_Vlastnosti_Povolani_Oprava,$X25-1,2,1,1),OFFSET(_Vlastnosti_Rasa,$X25-1,2,1,1)-OFFSET(_Vlastnosti_Rasa_k6,$X25-1,2,1,1)+AB25*AG$24)</f>
        <v>16</v>
      </c>
      <c r="AH25" s="126">
        <f t="shared" ref="AH25:AH31" ca="1" si="59">IF(OFFSET(_Vlastnosti_Povolani_k6,$Y25-1,3,1,1)=1,OFFSET(_Vlastnosti_Povolani,$Y25-1,3,1,1)-OFFSET(_Vlastnosti_Povolani_k6,$Y25-1,3,1,1)+AC25*AH$24+OFFSET(_Vlastnosti_Povolani_Oprava,$X25-1,3,1,1),OFFSET(_Vlastnosti_Rasa,$X25-1,3,1,1)-OFFSET(_Vlastnosti_Rasa_k6,$X25-1,3,1,1)+AC25*AH$24)</f>
        <v>12</v>
      </c>
      <c r="AI25" s="125">
        <f t="shared" ref="AI25:AI31" ca="1" si="60">IF(OFFSET(_Vlastnosti_Povolani_k6,$Y25-1,4,1,1)=1,OFFSET(_Vlastnosti_Povolani,$Y25-1,4,1,1)-OFFSET(_Vlastnosti_Povolani_k6,$Y25-1,4,1,1)+AD25*AI$24+OFFSET(_Vlastnosti_Povolani_Oprava,$X25-1,4,1,1),OFFSET(_Vlastnosti_Rasa,$X25-1,4,1,1)-OFFSET(_Vlastnosti_Rasa_k6,$X25-1,4,1,1)+AD25*AI$24)</f>
        <v>10</v>
      </c>
      <c r="AJ25" s="124">
        <f t="shared" ref="AJ25:AJ31" ca="1" si="61">OFFSET(_ZivTab,Y25-1,1,1,1)</f>
        <v>6</v>
      </c>
      <c r="AK25" s="126">
        <f ca="1">$AJ25/2</f>
        <v>3</v>
      </c>
      <c r="AL25" s="125">
        <v>1</v>
      </c>
    </row>
    <row r="26" spans="2:38" ht="17.100000000000001" customHeight="1" x14ac:dyDescent="0.25">
      <c r="B26" s="247"/>
      <c r="C26" s="179" t="s">
        <v>2</v>
      </c>
      <c r="D26" s="170">
        <f t="shared" ca="1" si="44"/>
        <v>59</v>
      </c>
      <c r="E26" s="218">
        <f t="shared" ca="1" si="45"/>
        <v>540</v>
      </c>
      <c r="F26" s="108" t="str">
        <f t="shared" ca="1" si="46"/>
        <v>8/-1</v>
      </c>
      <c r="G26" s="108" t="str">
        <f t="shared" ca="1" si="46"/>
        <v>19/+4</v>
      </c>
      <c r="H26" s="108" t="str">
        <f t="shared" ca="1" si="46"/>
        <v>17/+3</v>
      </c>
      <c r="I26" s="108" t="str">
        <f t="shared" ca="1" si="46"/>
        <v>11/+0</v>
      </c>
      <c r="J26" s="108" t="str">
        <f t="shared" ca="1" si="46"/>
        <v>8/-1</v>
      </c>
      <c r="K26" s="176" t="str">
        <f t="shared" ca="1" si="47"/>
        <v>11%</v>
      </c>
      <c r="L26" s="109" t="str">
        <f t="shared" ca="1" si="48"/>
        <v>5%</v>
      </c>
      <c r="M26" s="108">
        <f t="shared" ca="1" si="49"/>
        <v>1</v>
      </c>
      <c r="N26" s="145">
        <f t="shared" ca="1" si="50"/>
        <v>19</v>
      </c>
      <c r="O26" s="109">
        <f t="shared" ref="O26:O31" ca="1" si="62">IF(AG26&lt;6,-3,IF(AG26&lt;12,-2,IF(AG26&lt;17,-1,0)))</f>
        <v>0</v>
      </c>
      <c r="P26" s="129"/>
      <c r="Q26" s="129"/>
      <c r="R26" s="129"/>
      <c r="S26" s="129"/>
      <c r="T26" s="129"/>
      <c r="U26" s="129"/>
      <c r="V26" s="129"/>
      <c r="X26" s="127">
        <v>2</v>
      </c>
      <c r="Y26" s="128">
        <v>3</v>
      </c>
      <c r="Z26" s="127">
        <f t="shared" ca="1" si="51"/>
        <v>1</v>
      </c>
      <c r="AA26" s="129">
        <f t="shared" ca="1" si="52"/>
        <v>1</v>
      </c>
      <c r="AB26" s="129">
        <f t="shared" ca="1" si="53"/>
        <v>1</v>
      </c>
      <c r="AC26" s="129">
        <f t="shared" ca="1" si="54"/>
        <v>1</v>
      </c>
      <c r="AD26" s="128">
        <f t="shared" ca="1" si="55"/>
        <v>1</v>
      </c>
      <c r="AE26" s="127">
        <f t="shared" ca="1" si="56"/>
        <v>8</v>
      </c>
      <c r="AF26" s="129">
        <f t="shared" ca="1" si="57"/>
        <v>19</v>
      </c>
      <c r="AG26" s="129">
        <f t="shared" ca="1" si="58"/>
        <v>17</v>
      </c>
      <c r="AH26" s="129">
        <f t="shared" ca="1" si="59"/>
        <v>11</v>
      </c>
      <c r="AI26" s="128">
        <f t="shared" ca="1" si="60"/>
        <v>8</v>
      </c>
      <c r="AJ26" s="127">
        <f t="shared" ca="1" si="61"/>
        <v>6</v>
      </c>
      <c r="AK26" s="129">
        <f t="shared" ref="AK26:AK31" ca="1" si="63">$AJ26/2</f>
        <v>3</v>
      </c>
      <c r="AL26" s="128">
        <v>1</v>
      </c>
    </row>
    <row r="27" spans="2:38" ht="17.100000000000001" customHeight="1" x14ac:dyDescent="0.25">
      <c r="B27" s="247"/>
      <c r="C27" s="179" t="s">
        <v>3</v>
      </c>
      <c r="D27" s="170">
        <f t="shared" ca="1" si="44"/>
        <v>67</v>
      </c>
      <c r="E27" s="218">
        <f t="shared" ca="1" si="45"/>
        <v>474</v>
      </c>
      <c r="F27" s="108" t="str">
        <f t="shared" ca="1" si="46"/>
        <v>10/+0</v>
      </c>
      <c r="G27" s="108" t="str">
        <f t="shared" ca="1" si="46"/>
        <v>16/+2</v>
      </c>
      <c r="H27" s="108" t="str">
        <f t="shared" ca="1" si="46"/>
        <v>19/+4</v>
      </c>
      <c r="I27" s="108" t="str">
        <f t="shared" ca="1" si="46"/>
        <v>10/+0</v>
      </c>
      <c r="J27" s="108" t="str">
        <f t="shared" ca="1" si="46"/>
        <v>8/-1</v>
      </c>
      <c r="K27" s="176" t="str">
        <f t="shared" ca="1" si="47"/>
        <v>15%</v>
      </c>
      <c r="L27" s="109" t="str">
        <f t="shared" ca="1" si="48"/>
        <v>5%</v>
      </c>
      <c r="M27" s="108">
        <f t="shared" ca="1" si="49"/>
        <v>1</v>
      </c>
      <c r="N27" s="145">
        <f t="shared" ca="1" si="50"/>
        <v>22</v>
      </c>
      <c r="O27" s="109">
        <f t="shared" ca="1" si="62"/>
        <v>0</v>
      </c>
      <c r="P27" s="129"/>
      <c r="Q27" s="129"/>
      <c r="R27" s="129"/>
      <c r="S27" s="129"/>
      <c r="T27" s="129"/>
      <c r="U27" s="129"/>
      <c r="V27" s="129"/>
      <c r="X27" s="127">
        <v>3</v>
      </c>
      <c r="Y27" s="128">
        <v>3</v>
      </c>
      <c r="Z27" s="127">
        <f t="shared" ca="1" si="51"/>
        <v>1</v>
      </c>
      <c r="AA27" s="129">
        <f t="shared" ca="1" si="52"/>
        <v>1</v>
      </c>
      <c r="AB27" s="129">
        <f t="shared" ca="1" si="53"/>
        <v>1</v>
      </c>
      <c r="AC27" s="129">
        <f t="shared" ca="1" si="54"/>
        <v>1</v>
      </c>
      <c r="AD27" s="128">
        <f t="shared" ca="1" si="55"/>
        <v>1</v>
      </c>
      <c r="AE27" s="127">
        <f t="shared" ca="1" si="56"/>
        <v>10</v>
      </c>
      <c r="AF27" s="129">
        <f t="shared" ca="1" si="57"/>
        <v>16</v>
      </c>
      <c r="AG27" s="129">
        <f t="shared" ca="1" si="58"/>
        <v>19</v>
      </c>
      <c r="AH27" s="129">
        <f t="shared" ca="1" si="59"/>
        <v>10</v>
      </c>
      <c r="AI27" s="128">
        <f t="shared" ca="1" si="60"/>
        <v>8</v>
      </c>
      <c r="AJ27" s="127">
        <f t="shared" ca="1" si="61"/>
        <v>6</v>
      </c>
      <c r="AK27" s="129">
        <f t="shared" ca="1" si="63"/>
        <v>3</v>
      </c>
      <c r="AL27" s="128">
        <v>1</v>
      </c>
    </row>
    <row r="28" spans="2:38" ht="17.100000000000001" customHeight="1" x14ac:dyDescent="0.25">
      <c r="B28" s="247"/>
      <c r="C28" s="179" t="s">
        <v>4</v>
      </c>
      <c r="D28" s="170">
        <f t="shared" ca="1" si="44"/>
        <v>35</v>
      </c>
      <c r="E28" s="218">
        <f t="shared" ca="1" si="45"/>
        <v>540</v>
      </c>
      <c r="F28" s="108" t="str">
        <f t="shared" ca="1" si="46"/>
        <v>9/-1</v>
      </c>
      <c r="G28" s="108" t="str">
        <f t="shared" ca="1" si="46"/>
        <v>19/+4</v>
      </c>
      <c r="H28" s="108" t="str">
        <f t="shared" ca="1" si="46"/>
        <v>12/+0</v>
      </c>
      <c r="I28" s="108" t="str">
        <f t="shared" ca="1" si="46"/>
        <v>14/+1</v>
      </c>
      <c r="J28" s="108" t="str">
        <f t="shared" ca="1" si="46"/>
        <v>10/+0</v>
      </c>
      <c r="K28" s="176" t="str">
        <f t="shared" ca="1" si="47"/>
        <v>14%</v>
      </c>
      <c r="L28" s="109" t="str">
        <f t="shared" ca="1" si="48"/>
        <v>12%</v>
      </c>
      <c r="M28" s="108">
        <f t="shared" ca="1" si="49"/>
        <v>4</v>
      </c>
      <c r="N28" s="145">
        <f t="shared" ca="1" si="50"/>
        <v>11</v>
      </c>
      <c r="O28" s="109">
        <f t="shared" ca="1" si="62"/>
        <v>-1</v>
      </c>
      <c r="P28" s="129"/>
      <c r="Q28" s="129"/>
      <c r="R28" s="129"/>
      <c r="S28" s="129"/>
      <c r="T28" s="129"/>
      <c r="U28" s="129"/>
      <c r="V28" s="129"/>
      <c r="X28" s="127">
        <v>4</v>
      </c>
      <c r="Y28" s="128">
        <v>3</v>
      </c>
      <c r="Z28" s="127">
        <f t="shared" ca="1" si="51"/>
        <v>1</v>
      </c>
      <c r="AA28" s="129">
        <f t="shared" ca="1" si="52"/>
        <v>1</v>
      </c>
      <c r="AB28" s="129">
        <f t="shared" ca="1" si="53"/>
        <v>1</v>
      </c>
      <c r="AC28" s="129">
        <f t="shared" ca="1" si="54"/>
        <v>1</v>
      </c>
      <c r="AD28" s="128">
        <f t="shared" ca="1" si="55"/>
        <v>2</v>
      </c>
      <c r="AE28" s="127">
        <f t="shared" ca="1" si="56"/>
        <v>9</v>
      </c>
      <c r="AF28" s="129">
        <f t="shared" ca="1" si="57"/>
        <v>19</v>
      </c>
      <c r="AG28" s="129">
        <f t="shared" ca="1" si="58"/>
        <v>12</v>
      </c>
      <c r="AH28" s="129">
        <f t="shared" ca="1" si="59"/>
        <v>14</v>
      </c>
      <c r="AI28" s="128">
        <f t="shared" ca="1" si="60"/>
        <v>10</v>
      </c>
      <c r="AJ28" s="127">
        <f t="shared" ca="1" si="61"/>
        <v>6</v>
      </c>
      <c r="AK28" s="129">
        <f t="shared" ca="1" si="63"/>
        <v>3</v>
      </c>
      <c r="AL28" s="128">
        <v>1</v>
      </c>
    </row>
    <row r="29" spans="2:38" ht="17.100000000000001" customHeight="1" x14ac:dyDescent="0.25">
      <c r="B29" s="247"/>
      <c r="C29" s="179" t="s">
        <v>5</v>
      </c>
      <c r="D29" s="170">
        <f t="shared" ca="1" si="44"/>
        <v>51</v>
      </c>
      <c r="E29" s="218">
        <f t="shared" ca="1" si="45"/>
        <v>506</v>
      </c>
      <c r="F29" s="108" t="str">
        <f t="shared" ca="1" si="46"/>
        <v>12/+0</v>
      </c>
      <c r="G29" s="108" t="str">
        <f t="shared" ca="1" si="46"/>
        <v>18/+3</v>
      </c>
      <c r="H29" s="108" t="str">
        <f t="shared" ca="1" si="46"/>
        <v>16/+2</v>
      </c>
      <c r="I29" s="108" t="str">
        <f t="shared" ca="1" si="46"/>
        <v>12/+0</v>
      </c>
      <c r="J29" s="108" t="str">
        <f t="shared" ca="1" si="46"/>
        <v>5/-3</v>
      </c>
      <c r="K29" s="176" t="str">
        <f t="shared" ca="1" si="47"/>
        <v>12%</v>
      </c>
      <c r="L29" s="109" t="str">
        <f t="shared" ca="1" si="48"/>
        <v>6%</v>
      </c>
      <c r="M29" s="108">
        <f t="shared" ca="1" si="49"/>
        <v>6</v>
      </c>
      <c r="N29" s="145">
        <f t="shared" ca="1" si="50"/>
        <v>17</v>
      </c>
      <c r="O29" s="109">
        <f t="shared" ca="1" si="62"/>
        <v>-1</v>
      </c>
      <c r="P29" s="129"/>
      <c r="Q29" s="129"/>
      <c r="R29" s="129"/>
      <c r="S29" s="129"/>
      <c r="T29" s="129"/>
      <c r="U29" s="129"/>
      <c r="V29" s="129"/>
      <c r="X29" s="127">
        <v>5</v>
      </c>
      <c r="Y29" s="128">
        <v>3</v>
      </c>
      <c r="Z29" s="127">
        <f t="shared" ca="1" si="51"/>
        <v>2</v>
      </c>
      <c r="AA29" s="129">
        <f t="shared" ca="1" si="52"/>
        <v>1</v>
      </c>
      <c r="AB29" s="129">
        <f t="shared" ca="1" si="53"/>
        <v>1</v>
      </c>
      <c r="AC29" s="129">
        <f t="shared" ca="1" si="54"/>
        <v>1</v>
      </c>
      <c r="AD29" s="128">
        <f t="shared" ca="1" si="55"/>
        <v>3</v>
      </c>
      <c r="AE29" s="127">
        <f t="shared" ca="1" si="56"/>
        <v>12</v>
      </c>
      <c r="AF29" s="129">
        <f t="shared" ca="1" si="57"/>
        <v>18</v>
      </c>
      <c r="AG29" s="129">
        <f t="shared" ca="1" si="58"/>
        <v>16</v>
      </c>
      <c r="AH29" s="129">
        <f t="shared" ca="1" si="59"/>
        <v>12</v>
      </c>
      <c r="AI29" s="128">
        <f t="shared" ca="1" si="60"/>
        <v>5</v>
      </c>
      <c r="AJ29" s="127">
        <f t="shared" ca="1" si="61"/>
        <v>6</v>
      </c>
      <c r="AK29" s="129">
        <f t="shared" ca="1" si="63"/>
        <v>3</v>
      </c>
      <c r="AL29" s="128">
        <v>1</v>
      </c>
    </row>
    <row r="30" spans="2:38" ht="17.100000000000001" customHeight="1" x14ac:dyDescent="0.25">
      <c r="B30" s="247"/>
      <c r="C30" s="179" t="s">
        <v>6</v>
      </c>
      <c r="D30" s="170">
        <f t="shared" ca="1" si="44"/>
        <v>59</v>
      </c>
      <c r="E30" s="218">
        <f t="shared" ca="1" si="45"/>
        <v>506</v>
      </c>
      <c r="F30" s="108" t="str">
        <f t="shared" ca="1" si="46"/>
        <v>13/+1</v>
      </c>
      <c r="G30" s="108" t="str">
        <f t="shared" ca="1" si="46"/>
        <v>17/+3</v>
      </c>
      <c r="H30" s="108" t="str">
        <f t="shared" ca="1" si="46"/>
        <v>17/+3</v>
      </c>
      <c r="I30" s="108" t="str">
        <f t="shared" ca="1" si="46"/>
        <v>8/-1</v>
      </c>
      <c r="J30" s="108" t="str">
        <f t="shared" ca="1" si="46"/>
        <v>4/-3</v>
      </c>
      <c r="K30" s="176" t="str">
        <f t="shared" ca="1" si="47"/>
        <v>13%</v>
      </c>
      <c r="L30" s="109" t="str">
        <f t="shared" ca="1" si="48"/>
        <v>4%</v>
      </c>
      <c r="M30" s="108">
        <f t="shared" ca="1" si="49"/>
        <v>1</v>
      </c>
      <c r="N30" s="145">
        <f t="shared" ca="1" si="50"/>
        <v>19</v>
      </c>
      <c r="O30" s="109">
        <f t="shared" ca="1" si="62"/>
        <v>0</v>
      </c>
      <c r="P30" s="129"/>
      <c r="Q30" s="129"/>
      <c r="R30" s="129"/>
      <c r="S30" s="129"/>
      <c r="T30" s="129"/>
      <c r="U30" s="129"/>
      <c r="V30" s="129"/>
      <c r="X30" s="127">
        <v>6</v>
      </c>
      <c r="Y30" s="128">
        <v>3</v>
      </c>
      <c r="Z30" s="127">
        <f t="shared" ca="1" si="51"/>
        <v>1</v>
      </c>
      <c r="AA30" s="129">
        <f t="shared" ca="1" si="52"/>
        <v>1</v>
      </c>
      <c r="AB30" s="129">
        <f t="shared" ca="1" si="53"/>
        <v>1</v>
      </c>
      <c r="AC30" s="129">
        <f t="shared" ca="1" si="54"/>
        <v>1</v>
      </c>
      <c r="AD30" s="128">
        <f t="shared" ca="1" si="55"/>
        <v>3</v>
      </c>
      <c r="AE30" s="127">
        <f t="shared" ca="1" si="56"/>
        <v>13</v>
      </c>
      <c r="AF30" s="129">
        <f t="shared" ca="1" si="57"/>
        <v>17</v>
      </c>
      <c r="AG30" s="129">
        <f t="shared" ca="1" si="58"/>
        <v>17</v>
      </c>
      <c r="AH30" s="129">
        <f t="shared" ca="1" si="59"/>
        <v>8</v>
      </c>
      <c r="AI30" s="128">
        <f t="shared" ca="1" si="60"/>
        <v>4</v>
      </c>
      <c r="AJ30" s="127">
        <f t="shared" ca="1" si="61"/>
        <v>6</v>
      </c>
      <c r="AK30" s="129">
        <f t="shared" ca="1" si="63"/>
        <v>3</v>
      </c>
      <c r="AL30" s="128">
        <v>1</v>
      </c>
    </row>
    <row r="31" spans="2:38" ht="17.100000000000001" customHeight="1" thickBot="1" x14ac:dyDescent="0.3">
      <c r="B31" s="248"/>
      <c r="C31" s="180" t="s">
        <v>7</v>
      </c>
      <c r="D31" s="171">
        <f t="shared" ca="1" si="44"/>
        <v>67</v>
      </c>
      <c r="E31" s="219">
        <f t="shared" ca="1" si="45"/>
        <v>450</v>
      </c>
      <c r="F31" s="110" t="str">
        <f t="shared" ca="1" si="46"/>
        <v>14/+1</v>
      </c>
      <c r="G31" s="110" t="str">
        <f t="shared" ca="1" si="46"/>
        <v>14/+1</v>
      </c>
      <c r="H31" s="110" t="str">
        <f t="shared" ca="1" si="46"/>
        <v>19/+4</v>
      </c>
      <c r="I31" s="110" t="str">
        <f t="shared" ca="1" si="46"/>
        <v>4/-3</v>
      </c>
      <c r="J31" s="110" t="str">
        <f t="shared" ca="1" si="46"/>
        <v>3/-4</v>
      </c>
      <c r="K31" s="177" t="str">
        <f t="shared" ca="1" si="47"/>
        <v>9%</v>
      </c>
      <c r="L31" s="111" t="str">
        <f t="shared" ca="1" si="48"/>
        <v>2%</v>
      </c>
      <c r="M31" s="110">
        <f t="shared" ca="1" si="49"/>
        <v>1</v>
      </c>
      <c r="N31" s="146">
        <f t="shared" ca="1" si="50"/>
        <v>22</v>
      </c>
      <c r="O31" s="111">
        <f t="shared" ca="1" si="62"/>
        <v>0</v>
      </c>
      <c r="P31" s="129"/>
      <c r="Q31" s="129"/>
      <c r="R31" s="129"/>
      <c r="S31" s="129"/>
      <c r="T31" s="129"/>
      <c r="U31" s="129"/>
      <c r="V31" s="129"/>
      <c r="X31" s="130">
        <v>7</v>
      </c>
      <c r="Y31" s="131">
        <v>3</v>
      </c>
      <c r="Z31" s="130">
        <f t="shared" ca="1" si="51"/>
        <v>1</v>
      </c>
      <c r="AA31" s="132">
        <f t="shared" ca="1" si="52"/>
        <v>1</v>
      </c>
      <c r="AB31" s="132">
        <f t="shared" ca="1" si="53"/>
        <v>1</v>
      </c>
      <c r="AC31" s="132">
        <f t="shared" ca="1" si="54"/>
        <v>1</v>
      </c>
      <c r="AD31" s="131">
        <f t="shared" ca="1" si="55"/>
        <v>2</v>
      </c>
      <c r="AE31" s="130">
        <f t="shared" ca="1" si="56"/>
        <v>14</v>
      </c>
      <c r="AF31" s="132">
        <f t="shared" ca="1" si="57"/>
        <v>14</v>
      </c>
      <c r="AG31" s="132">
        <f t="shared" ca="1" si="58"/>
        <v>19</v>
      </c>
      <c r="AH31" s="132">
        <f t="shared" ca="1" si="59"/>
        <v>4</v>
      </c>
      <c r="AI31" s="131">
        <f t="shared" ca="1" si="60"/>
        <v>3</v>
      </c>
      <c r="AJ31" s="130">
        <f t="shared" ca="1" si="61"/>
        <v>6</v>
      </c>
      <c r="AK31" s="132">
        <f t="shared" ca="1" si="63"/>
        <v>3</v>
      </c>
      <c r="AL31" s="131">
        <v>1</v>
      </c>
    </row>
    <row r="32" spans="2:38" ht="17.100000000000001" customHeight="1" thickBot="1" x14ac:dyDescent="0.3">
      <c r="B32" s="106"/>
      <c r="G32" s="105"/>
    </row>
    <row r="33" spans="2:38" ht="17.100000000000001" customHeight="1" thickBot="1" x14ac:dyDescent="0.3">
      <c r="B33" s="134"/>
      <c r="C33" s="134"/>
      <c r="D33" s="232" t="s">
        <v>370</v>
      </c>
      <c r="E33" s="234"/>
      <c r="F33" s="232" t="s">
        <v>362</v>
      </c>
      <c r="G33" s="233"/>
      <c r="H33" s="233"/>
      <c r="I33" s="233"/>
      <c r="J33" s="234"/>
      <c r="K33" s="232" t="s">
        <v>361</v>
      </c>
      <c r="L33" s="234"/>
      <c r="M33" s="232" t="s">
        <v>360</v>
      </c>
      <c r="N33" s="233"/>
      <c r="O33" s="234"/>
    </row>
    <row r="34" spans="2:38" s="107" customFormat="1" ht="17.100000000000001" customHeight="1" thickBot="1" x14ac:dyDescent="0.3">
      <c r="B34" s="113" t="str">
        <f t="shared" ref="B34:J34" si="64">B$4</f>
        <v>POVOLÁNÍ</v>
      </c>
      <c r="C34" s="113" t="str">
        <f t="shared" si="64"/>
        <v>RASA</v>
      </c>
      <c r="D34" s="209" t="s">
        <v>368</v>
      </c>
      <c r="E34" s="210" t="s">
        <v>369</v>
      </c>
      <c r="F34" s="114" t="str">
        <f t="shared" si="64"/>
        <v>SIL</v>
      </c>
      <c r="G34" s="114" t="str">
        <f t="shared" si="64"/>
        <v>OBR</v>
      </c>
      <c r="H34" s="114" t="str">
        <f t="shared" si="64"/>
        <v>ODL</v>
      </c>
      <c r="I34" s="114" t="str">
        <f t="shared" si="64"/>
        <v>INT</v>
      </c>
      <c r="J34" s="114" t="str">
        <f t="shared" si="64"/>
        <v>CHAR</v>
      </c>
      <c r="K34" s="113" t="str">
        <f t="shared" ref="K34:N34" si="65">K$4</f>
        <v>Obj.</v>
      </c>
      <c r="L34" s="169" t="str">
        <f t="shared" si="65"/>
        <v>Mech.</v>
      </c>
      <c r="M34" s="114" t="str">
        <f t="shared" si="65"/>
        <v>Mez vyř.</v>
      </c>
      <c r="N34" s="242" t="str">
        <f t="shared" si="65"/>
        <v>Postih za 1/3 živ.</v>
      </c>
      <c r="O34" s="234"/>
      <c r="P34" s="139"/>
      <c r="Q34" s="139"/>
      <c r="R34" s="139"/>
      <c r="S34" s="139"/>
      <c r="T34" s="139"/>
      <c r="U34" s="139"/>
      <c r="V34" s="139"/>
      <c r="X34" s="118"/>
      <c r="Y34" s="122"/>
      <c r="Z34" s="118"/>
      <c r="AA34" s="119"/>
      <c r="AB34" s="119"/>
      <c r="AC34" s="119"/>
      <c r="AD34" s="122"/>
      <c r="AE34" s="123">
        <v>2</v>
      </c>
      <c r="AF34" s="120">
        <v>4</v>
      </c>
      <c r="AG34" s="120">
        <v>3</v>
      </c>
      <c r="AH34" s="120">
        <v>6</v>
      </c>
      <c r="AI34" s="121">
        <v>5</v>
      </c>
      <c r="AJ34" s="215"/>
      <c r="AK34" s="190">
        <v>8</v>
      </c>
      <c r="AL34" s="216">
        <v>8</v>
      </c>
    </row>
    <row r="35" spans="2:38" ht="17.100000000000001" customHeight="1" x14ac:dyDescent="0.25">
      <c r="B35" s="246" t="str">
        <f>CONCATENATE("Kouzelník",CHAR(10),"čaroděj / mág")</f>
        <v>Kouzelník
čaroděj / mág</v>
      </c>
      <c r="C35" s="178" t="s">
        <v>1</v>
      </c>
      <c r="D35" s="173">
        <f t="shared" ref="D35:D41" ca="1" si="66">OFFSET(_ZivTab,$Y35-1,0,1,1)+OFFSET(_Bonus,$AG35,0,1,1)+(AK$4-1)*MAX(AK35+OFFSET(_ZivTab,$Y35-1,2,1,1)+OFFSET(_Bonus,$AG35,0,1,1),1)+(AL$4-AK$4)*AL35</f>
        <v>27</v>
      </c>
      <c r="E35" s="211">
        <f t="shared" ref="E35:E41" ca="1" si="67">IF($Y35=2,IF(AL$34&lt;6,OFFSET(_MagHranTab,AL$34-1,$AH35-6,1,1),CONCATENATE(OFFSET(_MagChodTab,AL$34-6,$AH35-6,1,1)," / ",OFFSET(_MagDruidTab,AL$34-6,$AH35-6,1,1))),IF($Y35=3,OFFSET(_MagAlchTab,IF(AL$34&lt;=9,AL$34-1,8),$AF35-8,1,1),IF($Y35=4,OFFSET(_MagKouzTab,AL$34-1,$AH35-8,1,1),"-")))</f>
        <v>39</v>
      </c>
      <c r="F35" s="112" t="str">
        <f t="shared" ref="F35:J41" ca="1" si="68">CONCATENATE(AE35,"/",IF(OFFSET(_Bonus,AE35,0,1,1)&gt;=0,"+","-"),ABS(OFFSET(_Bonus,AE35,0,1,1)))</f>
        <v>4/-3</v>
      </c>
      <c r="G35" s="112" t="str">
        <f t="shared" ca="1" si="68"/>
        <v>14/+1</v>
      </c>
      <c r="H35" s="112" t="str">
        <f t="shared" ca="1" si="68"/>
        <v>10/+0</v>
      </c>
      <c r="I35" s="112" t="str">
        <f t="shared" ca="1" si="68"/>
        <v>17/+3</v>
      </c>
      <c r="J35" s="112" t="str">
        <f t="shared" ca="1" si="68"/>
        <v>20/+4</v>
      </c>
      <c r="K35" s="175" t="str">
        <f t="shared" ref="K35:K41" ca="1" si="69">CONCATENATE(AH35+IF(OR(C35="Kroll",C35="Barbar",C35="Trpaslík"),5,0),"%")</f>
        <v>17%</v>
      </c>
      <c r="L35" s="174" t="str">
        <f t="shared" ref="L35:L41" ca="1" si="70">CONCATENATE(FLOOR(AH35/2,1)+IF(OR(C35="Elf",C35="Hobit",C35="Kud;k"),5,0),"%")</f>
        <v>13%</v>
      </c>
      <c r="M35" s="112">
        <f t="shared" ref="M35:M41" ca="1" si="71">ROUND(D35*IF(AG35&lt;6,1/4,IF(AG35&lt;12,1/6,IF(AG35&lt;17,1/8,1/D35))),0)</f>
        <v>5</v>
      </c>
      <c r="N35" s="144">
        <f t="shared" ref="N35:N41" ca="1" si="72">FLOOR(D35/3,1)</f>
        <v>9</v>
      </c>
      <c r="O35" s="143">
        <f ca="1">IF(AG35&lt;6,-3,IF(AG35&lt;12,-2,IF(AG35&lt;17,-1,0)))</f>
        <v>-2</v>
      </c>
      <c r="P35" s="129"/>
      <c r="Q35" s="129"/>
      <c r="R35" s="129"/>
      <c r="S35" s="129"/>
      <c r="T35" s="129"/>
      <c r="U35" s="129"/>
      <c r="V35" s="129"/>
      <c r="X35" s="124">
        <v>1</v>
      </c>
      <c r="Y35" s="125">
        <v>4</v>
      </c>
      <c r="Z35" s="124">
        <f t="shared" ref="Z35:Z41" ca="1" si="73">IF(OFFSET(_Vlastnosti_Povolani_k6,$Y35-1,0,1,1)=1,OFFSET(_Vlastnosti_Povolani_k6,$Y35-1,0,1,1),OFFSET(_Vlastnosti_Rasa_k6,$X35-1,0,1,1))</f>
        <v>1</v>
      </c>
      <c r="AA35" s="126">
        <f t="shared" ref="AA35:AA41" ca="1" si="74">IF(OFFSET(_Vlastnosti_Povolani_k6,$Y35-1,1,1,1)=1,OFFSET(_Vlastnosti_Povolani_k6,$Y35-1,1,1,1),OFFSET(_Vlastnosti_Rasa_k6,$X35-1,1,1,1))</f>
        <v>1</v>
      </c>
      <c r="AB35" s="126">
        <f t="shared" ref="AB35:AB41" ca="1" si="75">IF(OFFSET(_Vlastnosti_Povolani_k6,$Y35-1,2,1,1)=1,OFFSET(_Vlastnosti_Povolani_k6,$Y35-1,2,1,1),OFFSET(_Vlastnosti_Rasa_k6,$X35-1,2,1,1))</f>
        <v>1</v>
      </c>
      <c r="AC35" s="126">
        <f t="shared" ref="AC35:AC41" ca="1" si="76">IF(OFFSET(_Vlastnosti_Povolani_k6,$Y35-1,3,1,1)=1,OFFSET(_Vlastnosti_Povolani_k6,$Y35-1,3,1,1),OFFSET(_Vlastnosti_Rasa_k6,$X35-1,3,1,1))</f>
        <v>1</v>
      </c>
      <c r="AD35" s="125">
        <f t="shared" ref="AD35:AD41" ca="1" si="77">IF(OFFSET(_Vlastnosti_Povolani_k6,$Y35-1,4,1,1)=1,OFFSET(_Vlastnosti_Povolani_k6,$Y35-1,4,1,1),OFFSET(_Vlastnosti_Rasa_k6,$X35-1,4,1,1))</f>
        <v>1</v>
      </c>
      <c r="AE35" s="124">
        <f t="shared" ref="AE35:AE41" ca="1" si="78">IF(OFFSET(_Vlastnosti_Povolani_k6,$Y35-1,0,1,1)=1,OFFSET(_Vlastnosti_Povolani,$Y35-1,0,1,1)-OFFSET(_Vlastnosti_Povolani_k6,$Y35-1,0,1,1)+Z35*AE$34+OFFSET(_Vlastnosti_Povolani_Oprava,$X35-1,0,1,1),OFFSET(_Vlastnosti_Rasa,$X35-1,0,1,1)-OFFSET(_Vlastnosti_Rasa_k6,$X35-1,0,1,1)+Z35*AE$34)</f>
        <v>4</v>
      </c>
      <c r="AF35" s="126">
        <f t="shared" ref="AF35:AF41" ca="1" si="79">IF(OFFSET(_Vlastnosti_Povolani_k6,$Y35-1,1,1,1)=1,OFFSET(_Vlastnosti_Povolani,$Y35-1,1,1,1)-OFFSET(_Vlastnosti_Povolani_k6,$Y35-1,1,1,1)+AA35*AF$34+OFFSET(_Vlastnosti_Povolani_Oprava,$X35-1,1,1,1),OFFSET(_Vlastnosti_Rasa,$X35-1,1,1,1)-OFFSET(_Vlastnosti_Rasa_k6,$X35-1,1,1,1)+AA35*AF$34)</f>
        <v>14</v>
      </c>
      <c r="AG35" s="126">
        <f t="shared" ref="AG35:AG41" ca="1" si="80">IF(OFFSET(_Vlastnosti_Povolani_k6,$Y35-1,2,1,1)=1,OFFSET(_Vlastnosti_Povolani,$Y35-1,2,1,1)-OFFSET(_Vlastnosti_Povolani_k6,$Y35-1,2,1,1)+AB35*AG$34+OFFSET(_Vlastnosti_Povolani_Oprava,$X35-1,2,1,1),OFFSET(_Vlastnosti_Rasa,$X35-1,2,1,1)-OFFSET(_Vlastnosti_Rasa_k6,$X35-1,2,1,1)+AB35*AG$34)</f>
        <v>10</v>
      </c>
      <c r="AH35" s="126">
        <f t="shared" ref="AH35:AH41" ca="1" si="81">IF(OFFSET(_Vlastnosti_Povolani_k6,$Y35-1,3,1,1)=1,OFFSET(_Vlastnosti_Povolani,$Y35-1,3,1,1)-OFFSET(_Vlastnosti_Povolani_k6,$Y35-1,3,1,1)+AC35*AH$34+OFFSET(_Vlastnosti_Povolani_Oprava,$X35-1,3,1,1),OFFSET(_Vlastnosti_Rasa,$X35-1,3,1,1)-OFFSET(_Vlastnosti_Rasa_k6,$X35-1,3,1,1)+AC35*AH$34)</f>
        <v>17</v>
      </c>
      <c r="AI35" s="125">
        <f t="shared" ref="AI35:AI41" ca="1" si="82">IF(OFFSET(_Vlastnosti_Povolani_k6,$Y35-1,4,1,1)=1,OFFSET(_Vlastnosti_Povolani,$Y35-1,4,1,1)-OFFSET(_Vlastnosti_Povolani_k6,$Y35-1,4,1,1)+AD35*AI$34+OFFSET(_Vlastnosti_Povolani_Oprava,$X35-1,4,1,1),OFFSET(_Vlastnosti_Rasa,$X35-1,4,1,1)-OFFSET(_Vlastnosti_Rasa_k6,$X35-1,4,1,1)+AD35*AI$34)</f>
        <v>20</v>
      </c>
      <c r="AJ35" s="124">
        <f t="shared" ref="AJ35:AJ41" ca="1" si="83">OFFSET(_ZivTab,Y35-1,1,1,1)</f>
        <v>6</v>
      </c>
      <c r="AK35" s="126">
        <f ca="1">$AJ35/2</f>
        <v>3</v>
      </c>
      <c r="AL35" s="125">
        <v>1</v>
      </c>
    </row>
    <row r="36" spans="2:38" ht="17.100000000000001" customHeight="1" x14ac:dyDescent="0.25">
      <c r="B36" s="247"/>
      <c r="C36" s="179" t="s">
        <v>2</v>
      </c>
      <c r="D36" s="170">
        <f t="shared" ca="1" si="66"/>
        <v>27</v>
      </c>
      <c r="E36" s="212">
        <f t="shared" ca="1" si="67"/>
        <v>39</v>
      </c>
      <c r="F36" s="108" t="str">
        <f t="shared" ca="1" si="68"/>
        <v>6/-2</v>
      </c>
      <c r="G36" s="108" t="str">
        <f t="shared" ca="1" si="68"/>
        <v>13/+1</v>
      </c>
      <c r="H36" s="108" t="str">
        <f t="shared" ca="1" si="68"/>
        <v>12/+0</v>
      </c>
      <c r="I36" s="108" t="str">
        <f t="shared" ca="1" si="68"/>
        <v>17/+3</v>
      </c>
      <c r="J36" s="108" t="str">
        <f t="shared" ca="1" si="68"/>
        <v>17/+3</v>
      </c>
      <c r="K36" s="176" t="str">
        <f t="shared" ca="1" si="69"/>
        <v>17%</v>
      </c>
      <c r="L36" s="109" t="str">
        <f t="shared" ca="1" si="70"/>
        <v>8%</v>
      </c>
      <c r="M36" s="108">
        <f t="shared" ca="1" si="71"/>
        <v>3</v>
      </c>
      <c r="N36" s="145">
        <f t="shared" ca="1" si="72"/>
        <v>9</v>
      </c>
      <c r="O36" s="109">
        <f t="shared" ref="O36:O41" ca="1" si="84">IF(AG36&lt;6,-3,IF(AG36&lt;12,-2,IF(AG36&lt;17,-1,0)))</f>
        <v>-1</v>
      </c>
      <c r="P36" s="129"/>
      <c r="Q36" s="129"/>
      <c r="R36" s="129"/>
      <c r="S36" s="129"/>
      <c r="T36" s="129"/>
      <c r="U36" s="129"/>
      <c r="V36" s="129"/>
      <c r="X36" s="127">
        <v>2</v>
      </c>
      <c r="Y36" s="128">
        <v>4</v>
      </c>
      <c r="Z36" s="127">
        <f t="shared" ca="1" si="73"/>
        <v>1</v>
      </c>
      <c r="AA36" s="129">
        <f t="shared" ca="1" si="74"/>
        <v>1</v>
      </c>
      <c r="AB36" s="129">
        <f t="shared" ca="1" si="75"/>
        <v>1</v>
      </c>
      <c r="AC36" s="129">
        <f t="shared" ca="1" si="76"/>
        <v>1</v>
      </c>
      <c r="AD36" s="128">
        <f t="shared" ca="1" si="77"/>
        <v>1</v>
      </c>
      <c r="AE36" s="127">
        <f t="shared" ca="1" si="78"/>
        <v>6</v>
      </c>
      <c r="AF36" s="129">
        <f t="shared" ca="1" si="79"/>
        <v>13</v>
      </c>
      <c r="AG36" s="129">
        <f t="shared" ca="1" si="80"/>
        <v>12</v>
      </c>
      <c r="AH36" s="129">
        <f t="shared" ca="1" si="81"/>
        <v>17</v>
      </c>
      <c r="AI36" s="128">
        <f t="shared" ca="1" si="82"/>
        <v>17</v>
      </c>
      <c r="AJ36" s="127">
        <f t="shared" ca="1" si="83"/>
        <v>6</v>
      </c>
      <c r="AK36" s="129">
        <f t="shared" ref="AK36:AK41" ca="1" si="85">$AJ36/2</f>
        <v>3</v>
      </c>
      <c r="AL36" s="128">
        <v>1</v>
      </c>
    </row>
    <row r="37" spans="2:38" ht="17.100000000000001" customHeight="1" x14ac:dyDescent="0.25">
      <c r="B37" s="247"/>
      <c r="C37" s="179" t="s">
        <v>3</v>
      </c>
      <c r="D37" s="170">
        <f t="shared" ca="1" si="66"/>
        <v>35</v>
      </c>
      <c r="E37" s="212">
        <f t="shared" ca="1" si="67"/>
        <v>39</v>
      </c>
      <c r="F37" s="108" t="str">
        <f t="shared" ca="1" si="68"/>
        <v>8/-1</v>
      </c>
      <c r="G37" s="108" t="str">
        <f t="shared" ca="1" si="68"/>
        <v>10/+0</v>
      </c>
      <c r="H37" s="108" t="str">
        <f t="shared" ca="1" si="68"/>
        <v>14/+1</v>
      </c>
      <c r="I37" s="108" t="str">
        <f t="shared" ca="1" si="68"/>
        <v>16/+2</v>
      </c>
      <c r="J37" s="108" t="str">
        <f t="shared" ca="1" si="68"/>
        <v>15/+2</v>
      </c>
      <c r="K37" s="176" t="str">
        <f t="shared" ca="1" si="69"/>
        <v>21%</v>
      </c>
      <c r="L37" s="109" t="str">
        <f t="shared" ca="1" si="70"/>
        <v>8%</v>
      </c>
      <c r="M37" s="108">
        <f t="shared" ca="1" si="71"/>
        <v>4</v>
      </c>
      <c r="N37" s="145">
        <f t="shared" ca="1" si="72"/>
        <v>11</v>
      </c>
      <c r="O37" s="109">
        <f t="shared" ca="1" si="84"/>
        <v>-1</v>
      </c>
      <c r="P37" s="129"/>
      <c r="Q37" s="129"/>
      <c r="R37" s="129"/>
      <c r="S37" s="129"/>
      <c r="T37" s="129"/>
      <c r="U37" s="129"/>
      <c r="V37" s="129"/>
      <c r="X37" s="127">
        <v>3</v>
      </c>
      <c r="Y37" s="128">
        <v>4</v>
      </c>
      <c r="Z37" s="127">
        <f t="shared" ca="1" si="73"/>
        <v>1</v>
      </c>
      <c r="AA37" s="129">
        <f t="shared" ca="1" si="74"/>
        <v>1</v>
      </c>
      <c r="AB37" s="129">
        <f t="shared" ca="1" si="75"/>
        <v>1</v>
      </c>
      <c r="AC37" s="129">
        <f t="shared" ca="1" si="76"/>
        <v>1</v>
      </c>
      <c r="AD37" s="128">
        <f t="shared" ca="1" si="77"/>
        <v>1</v>
      </c>
      <c r="AE37" s="127">
        <f t="shared" ca="1" si="78"/>
        <v>8</v>
      </c>
      <c r="AF37" s="129">
        <f t="shared" ca="1" si="79"/>
        <v>10</v>
      </c>
      <c r="AG37" s="129">
        <f t="shared" ca="1" si="80"/>
        <v>14</v>
      </c>
      <c r="AH37" s="129">
        <f t="shared" ca="1" si="81"/>
        <v>16</v>
      </c>
      <c r="AI37" s="128">
        <f t="shared" ca="1" si="82"/>
        <v>15</v>
      </c>
      <c r="AJ37" s="127">
        <f t="shared" ca="1" si="83"/>
        <v>6</v>
      </c>
      <c r="AK37" s="129">
        <f t="shared" ca="1" si="85"/>
        <v>3</v>
      </c>
      <c r="AL37" s="128">
        <v>1</v>
      </c>
    </row>
    <row r="38" spans="2:38" ht="17.100000000000001" customHeight="1" x14ac:dyDescent="0.25">
      <c r="B38" s="247"/>
      <c r="C38" s="179" t="s">
        <v>4</v>
      </c>
      <c r="D38" s="170">
        <f t="shared" ca="1" si="66"/>
        <v>19</v>
      </c>
      <c r="E38" s="212">
        <f t="shared" ca="1" si="67"/>
        <v>48</v>
      </c>
      <c r="F38" s="108" t="str">
        <f t="shared" ca="1" si="68"/>
        <v>7/-2</v>
      </c>
      <c r="G38" s="108" t="str">
        <f t="shared" ca="1" si="68"/>
        <v>13/+1</v>
      </c>
      <c r="H38" s="108" t="str">
        <f t="shared" ca="1" si="68"/>
        <v>8/-1</v>
      </c>
      <c r="I38" s="108" t="str">
        <f t="shared" ca="1" si="68"/>
        <v>21/+5</v>
      </c>
      <c r="J38" s="108" t="str">
        <f t="shared" ca="1" si="68"/>
        <v>19/+4</v>
      </c>
      <c r="K38" s="176" t="str">
        <f t="shared" ca="1" si="69"/>
        <v>21%</v>
      </c>
      <c r="L38" s="109" t="str">
        <f t="shared" ca="1" si="70"/>
        <v>15%</v>
      </c>
      <c r="M38" s="108">
        <f t="shared" ca="1" si="71"/>
        <v>3</v>
      </c>
      <c r="N38" s="145">
        <f t="shared" ca="1" si="72"/>
        <v>6</v>
      </c>
      <c r="O38" s="109">
        <f t="shared" ca="1" si="84"/>
        <v>-2</v>
      </c>
      <c r="P38" s="129"/>
      <c r="Q38" s="129"/>
      <c r="R38" s="129"/>
      <c r="S38" s="129"/>
      <c r="T38" s="129"/>
      <c r="U38" s="129"/>
      <c r="V38" s="129"/>
      <c r="X38" s="127">
        <v>4</v>
      </c>
      <c r="Y38" s="128">
        <v>4</v>
      </c>
      <c r="Z38" s="127">
        <f t="shared" ca="1" si="73"/>
        <v>1</v>
      </c>
      <c r="AA38" s="129">
        <f t="shared" ca="1" si="74"/>
        <v>1</v>
      </c>
      <c r="AB38" s="129">
        <f t="shared" ca="1" si="75"/>
        <v>1</v>
      </c>
      <c r="AC38" s="129">
        <f t="shared" ca="1" si="76"/>
        <v>1</v>
      </c>
      <c r="AD38" s="128">
        <f t="shared" ca="1" si="77"/>
        <v>1</v>
      </c>
      <c r="AE38" s="127">
        <f t="shared" ca="1" si="78"/>
        <v>7</v>
      </c>
      <c r="AF38" s="129">
        <f t="shared" ca="1" si="79"/>
        <v>13</v>
      </c>
      <c r="AG38" s="129">
        <f t="shared" ca="1" si="80"/>
        <v>8</v>
      </c>
      <c r="AH38" s="129">
        <f t="shared" ca="1" si="81"/>
        <v>21</v>
      </c>
      <c r="AI38" s="128">
        <f t="shared" ca="1" si="82"/>
        <v>19</v>
      </c>
      <c r="AJ38" s="127">
        <f t="shared" ca="1" si="83"/>
        <v>6</v>
      </c>
      <c r="AK38" s="129">
        <f t="shared" ca="1" si="85"/>
        <v>3</v>
      </c>
      <c r="AL38" s="128">
        <v>1</v>
      </c>
    </row>
    <row r="39" spans="2:38" ht="17.100000000000001" customHeight="1" x14ac:dyDescent="0.25">
      <c r="B39" s="247"/>
      <c r="C39" s="179" t="s">
        <v>5</v>
      </c>
      <c r="D39" s="170">
        <f t="shared" ca="1" si="66"/>
        <v>27</v>
      </c>
      <c r="E39" s="212">
        <f t="shared" ca="1" si="67"/>
        <v>43</v>
      </c>
      <c r="F39" s="108" t="str">
        <f t="shared" ca="1" si="68"/>
        <v>8/-1</v>
      </c>
      <c r="G39" s="108" t="str">
        <f t="shared" ca="1" si="68"/>
        <v>12/+0</v>
      </c>
      <c r="H39" s="108" t="str">
        <f t="shared" ca="1" si="68"/>
        <v>11/+0</v>
      </c>
      <c r="I39" s="108" t="str">
        <f t="shared" ca="1" si="68"/>
        <v>19/+4</v>
      </c>
      <c r="J39" s="108" t="str">
        <f t="shared" ca="1" si="68"/>
        <v>17/+3</v>
      </c>
      <c r="K39" s="176" t="str">
        <f t="shared" ca="1" si="69"/>
        <v>19%</v>
      </c>
      <c r="L39" s="109" t="str">
        <f t="shared" ca="1" si="70"/>
        <v>9%</v>
      </c>
      <c r="M39" s="108">
        <f t="shared" ca="1" si="71"/>
        <v>5</v>
      </c>
      <c r="N39" s="145">
        <f t="shared" ca="1" si="72"/>
        <v>9</v>
      </c>
      <c r="O39" s="109">
        <f t="shared" ca="1" si="84"/>
        <v>-2</v>
      </c>
      <c r="P39" s="129"/>
      <c r="Q39" s="129"/>
      <c r="R39" s="129"/>
      <c r="S39" s="129"/>
      <c r="T39" s="129"/>
      <c r="U39" s="129"/>
      <c r="V39" s="129"/>
      <c r="X39" s="127">
        <v>5</v>
      </c>
      <c r="Y39" s="128">
        <v>4</v>
      </c>
      <c r="Z39" s="127">
        <f t="shared" ca="1" si="73"/>
        <v>2</v>
      </c>
      <c r="AA39" s="129">
        <f t="shared" ca="1" si="74"/>
        <v>1</v>
      </c>
      <c r="AB39" s="129">
        <f t="shared" ca="1" si="75"/>
        <v>1</v>
      </c>
      <c r="AC39" s="129">
        <f t="shared" ca="1" si="76"/>
        <v>1</v>
      </c>
      <c r="AD39" s="128">
        <f t="shared" ca="1" si="77"/>
        <v>1</v>
      </c>
      <c r="AE39" s="127">
        <f t="shared" ca="1" si="78"/>
        <v>8</v>
      </c>
      <c r="AF39" s="129">
        <f t="shared" ca="1" si="79"/>
        <v>12</v>
      </c>
      <c r="AG39" s="129">
        <f t="shared" ca="1" si="80"/>
        <v>11</v>
      </c>
      <c r="AH39" s="129">
        <f t="shared" ca="1" si="81"/>
        <v>19</v>
      </c>
      <c r="AI39" s="128">
        <f t="shared" ca="1" si="82"/>
        <v>17</v>
      </c>
      <c r="AJ39" s="127">
        <f t="shared" ca="1" si="83"/>
        <v>6</v>
      </c>
      <c r="AK39" s="129">
        <f t="shared" ca="1" si="85"/>
        <v>3</v>
      </c>
      <c r="AL39" s="128">
        <v>1</v>
      </c>
    </row>
    <row r="40" spans="2:38" ht="17.100000000000001" customHeight="1" x14ac:dyDescent="0.25">
      <c r="B40" s="247"/>
      <c r="C40" s="179" t="s">
        <v>6</v>
      </c>
      <c r="D40" s="170">
        <f t="shared" ca="1" si="66"/>
        <v>35</v>
      </c>
      <c r="E40" s="212">
        <f t="shared" ca="1" si="67"/>
        <v>43</v>
      </c>
      <c r="F40" s="108" t="str">
        <f t="shared" ca="1" si="68"/>
        <v>11/+0</v>
      </c>
      <c r="G40" s="108" t="str">
        <f t="shared" ca="1" si="68"/>
        <v>11/+0</v>
      </c>
      <c r="H40" s="108" t="str">
        <f t="shared" ca="1" si="68"/>
        <v>13/+1</v>
      </c>
      <c r="I40" s="108" t="str">
        <f t="shared" ca="1" si="68"/>
        <v>19/+4</v>
      </c>
      <c r="J40" s="108" t="str">
        <f t="shared" ca="1" si="68"/>
        <v>15/+2</v>
      </c>
      <c r="K40" s="176" t="str">
        <f t="shared" ca="1" si="69"/>
        <v>24%</v>
      </c>
      <c r="L40" s="109" t="str">
        <f t="shared" ca="1" si="70"/>
        <v>9%</v>
      </c>
      <c r="M40" s="108">
        <f t="shared" ca="1" si="71"/>
        <v>4</v>
      </c>
      <c r="N40" s="145">
        <f t="shared" ca="1" si="72"/>
        <v>11</v>
      </c>
      <c r="O40" s="109">
        <f t="shared" ca="1" si="84"/>
        <v>-1</v>
      </c>
      <c r="P40" s="129"/>
      <c r="Q40" s="129"/>
      <c r="R40" s="129"/>
      <c r="S40" s="129"/>
      <c r="T40" s="129"/>
      <c r="U40" s="129"/>
      <c r="V40" s="129"/>
      <c r="X40" s="127">
        <v>6</v>
      </c>
      <c r="Y40" s="128">
        <v>4</v>
      </c>
      <c r="Z40" s="127">
        <f t="shared" ca="1" si="73"/>
        <v>1</v>
      </c>
      <c r="AA40" s="129">
        <f t="shared" ca="1" si="74"/>
        <v>1</v>
      </c>
      <c r="AB40" s="129">
        <f t="shared" ca="1" si="75"/>
        <v>1</v>
      </c>
      <c r="AC40" s="129">
        <f t="shared" ca="1" si="76"/>
        <v>1</v>
      </c>
      <c r="AD40" s="128">
        <f t="shared" ca="1" si="77"/>
        <v>1</v>
      </c>
      <c r="AE40" s="127">
        <f t="shared" ca="1" si="78"/>
        <v>11</v>
      </c>
      <c r="AF40" s="129">
        <f t="shared" ca="1" si="79"/>
        <v>11</v>
      </c>
      <c r="AG40" s="129">
        <f t="shared" ca="1" si="80"/>
        <v>13</v>
      </c>
      <c r="AH40" s="129">
        <f t="shared" ca="1" si="81"/>
        <v>19</v>
      </c>
      <c r="AI40" s="128">
        <f t="shared" ca="1" si="82"/>
        <v>15</v>
      </c>
      <c r="AJ40" s="127">
        <f t="shared" ca="1" si="83"/>
        <v>6</v>
      </c>
      <c r="AK40" s="129">
        <f t="shared" ca="1" si="85"/>
        <v>3</v>
      </c>
      <c r="AL40" s="128">
        <v>1</v>
      </c>
    </row>
    <row r="41" spans="2:38" ht="17.100000000000001" customHeight="1" thickBot="1" x14ac:dyDescent="0.3">
      <c r="B41" s="248"/>
      <c r="C41" s="180" t="s">
        <v>7</v>
      </c>
      <c r="D41" s="171">
        <f t="shared" ca="1" si="66"/>
        <v>43</v>
      </c>
      <c r="E41" s="213">
        <f t="shared" ca="1" si="67"/>
        <v>33</v>
      </c>
      <c r="F41" s="110" t="str">
        <f t="shared" ca="1" si="68"/>
        <v>12/+0</v>
      </c>
      <c r="G41" s="110" t="str">
        <f t="shared" ca="1" si="68"/>
        <v>8/-1</v>
      </c>
      <c r="H41" s="110" t="str">
        <f t="shared" ca="1" si="68"/>
        <v>15/+2</v>
      </c>
      <c r="I41" s="110" t="str">
        <f t="shared" ca="1" si="68"/>
        <v>13/+1</v>
      </c>
      <c r="J41" s="110" t="str">
        <f t="shared" ca="1" si="68"/>
        <v>12/+0</v>
      </c>
      <c r="K41" s="177" t="str">
        <f t="shared" ca="1" si="69"/>
        <v>18%</v>
      </c>
      <c r="L41" s="111" t="str">
        <f t="shared" ca="1" si="70"/>
        <v>6%</v>
      </c>
      <c r="M41" s="110">
        <f t="shared" ca="1" si="71"/>
        <v>5</v>
      </c>
      <c r="N41" s="146">
        <f t="shared" ca="1" si="72"/>
        <v>14</v>
      </c>
      <c r="O41" s="111">
        <f t="shared" ca="1" si="84"/>
        <v>-1</v>
      </c>
      <c r="P41" s="129"/>
      <c r="Q41" s="129"/>
      <c r="R41" s="129"/>
      <c r="S41" s="129"/>
      <c r="T41" s="129"/>
      <c r="U41" s="129"/>
      <c r="V41" s="129"/>
      <c r="X41" s="130">
        <v>7</v>
      </c>
      <c r="Y41" s="131">
        <v>4</v>
      </c>
      <c r="Z41" s="130">
        <f t="shared" ca="1" si="73"/>
        <v>1</v>
      </c>
      <c r="AA41" s="132">
        <f t="shared" ca="1" si="74"/>
        <v>1</v>
      </c>
      <c r="AB41" s="132">
        <f t="shared" ca="1" si="75"/>
        <v>1</v>
      </c>
      <c r="AC41" s="132">
        <f t="shared" ca="1" si="76"/>
        <v>1</v>
      </c>
      <c r="AD41" s="131">
        <f t="shared" ca="1" si="77"/>
        <v>1</v>
      </c>
      <c r="AE41" s="130">
        <f t="shared" ca="1" si="78"/>
        <v>12</v>
      </c>
      <c r="AF41" s="132">
        <f t="shared" ca="1" si="79"/>
        <v>8</v>
      </c>
      <c r="AG41" s="132">
        <f t="shared" ca="1" si="80"/>
        <v>15</v>
      </c>
      <c r="AH41" s="132">
        <f t="shared" ca="1" si="81"/>
        <v>13</v>
      </c>
      <c r="AI41" s="131">
        <f t="shared" ca="1" si="82"/>
        <v>12</v>
      </c>
      <c r="AJ41" s="130">
        <f t="shared" ca="1" si="83"/>
        <v>6</v>
      </c>
      <c r="AK41" s="132">
        <f t="shared" ca="1" si="85"/>
        <v>3</v>
      </c>
      <c r="AL41" s="131">
        <v>1</v>
      </c>
    </row>
    <row r="42" spans="2:38" ht="17.100000000000001" customHeight="1" thickBot="1" x14ac:dyDescent="0.3">
      <c r="B42" s="106"/>
      <c r="I42" s="105"/>
    </row>
    <row r="43" spans="2:38" ht="17.100000000000001" customHeight="1" thickBot="1" x14ac:dyDescent="0.3">
      <c r="B43" s="134"/>
      <c r="C43" s="134"/>
      <c r="D43" s="232" t="s">
        <v>370</v>
      </c>
      <c r="E43" s="234"/>
      <c r="F43" s="232" t="s">
        <v>362</v>
      </c>
      <c r="G43" s="233"/>
      <c r="H43" s="233"/>
      <c r="I43" s="233"/>
      <c r="J43" s="234"/>
      <c r="K43" s="232" t="s">
        <v>361</v>
      </c>
      <c r="L43" s="234"/>
      <c r="M43" s="232" t="s">
        <v>360</v>
      </c>
      <c r="N43" s="233"/>
      <c r="O43" s="234"/>
    </row>
    <row r="44" spans="2:38" s="107" customFormat="1" ht="17.100000000000001" customHeight="1" thickBot="1" x14ac:dyDescent="0.3">
      <c r="B44" s="118" t="str">
        <f t="shared" ref="B44:J44" si="86">B$4</f>
        <v>POVOLÁNÍ</v>
      </c>
      <c r="C44" s="113" t="str">
        <f t="shared" si="86"/>
        <v>RASA</v>
      </c>
      <c r="D44" s="209" t="s">
        <v>368</v>
      </c>
      <c r="E44" s="210" t="s">
        <v>369</v>
      </c>
      <c r="F44" s="114" t="str">
        <f t="shared" si="86"/>
        <v>SIL</v>
      </c>
      <c r="G44" s="114" t="str">
        <f t="shared" si="86"/>
        <v>OBR</v>
      </c>
      <c r="H44" s="114" t="str">
        <f t="shared" si="86"/>
        <v>ODL</v>
      </c>
      <c r="I44" s="114" t="str">
        <f t="shared" si="86"/>
        <v>INT</v>
      </c>
      <c r="J44" s="114" t="str">
        <f t="shared" si="86"/>
        <v>CHAR</v>
      </c>
      <c r="K44" s="113" t="str">
        <f t="shared" ref="K44:N44" si="87">K$4</f>
        <v>Obj.</v>
      </c>
      <c r="L44" s="169" t="str">
        <f t="shared" si="87"/>
        <v>Mech.</v>
      </c>
      <c r="M44" s="114" t="str">
        <f t="shared" si="87"/>
        <v>Mez vyř.</v>
      </c>
      <c r="N44" s="242" t="str">
        <f t="shared" si="87"/>
        <v>Postih za 1/3 živ.</v>
      </c>
      <c r="O44" s="234"/>
      <c r="P44" s="139"/>
      <c r="Q44" s="139"/>
      <c r="R44" s="139"/>
      <c r="S44" s="139"/>
      <c r="T44" s="139"/>
      <c r="U44" s="139"/>
      <c r="V44" s="139"/>
      <c r="X44" s="118"/>
      <c r="Y44" s="122"/>
      <c r="Z44" s="118"/>
      <c r="AA44" s="119"/>
      <c r="AB44" s="119"/>
      <c r="AC44" s="119"/>
      <c r="AD44" s="122"/>
      <c r="AE44" s="123">
        <v>2</v>
      </c>
      <c r="AF44" s="120">
        <v>6</v>
      </c>
      <c r="AG44" s="120">
        <v>4</v>
      </c>
      <c r="AH44" s="120">
        <v>3</v>
      </c>
      <c r="AI44" s="121">
        <v>5</v>
      </c>
      <c r="AJ44" s="215"/>
      <c r="AK44" s="190">
        <v>8</v>
      </c>
      <c r="AL44" s="216">
        <v>8</v>
      </c>
    </row>
    <row r="45" spans="2:38" ht="17.100000000000001" customHeight="1" x14ac:dyDescent="0.25">
      <c r="B45" s="243" t="str">
        <f>CONCATENATE("Zloděj",CHAR(10),"lupič / sicco")</f>
        <v>Zloděj
lupič / sicco</v>
      </c>
      <c r="C45" s="178" t="s">
        <v>1</v>
      </c>
      <c r="D45" s="173">
        <f t="shared" ref="D45:D51" ca="1" si="88">OFFSET(_ZivTab,$Y45-1,0,1,1)+OFFSET(_Bonus,$AG45,0,1,1)+(AK$4-1)*MAX(AK45+OFFSET(_ZivTab,$Y45-1,2,1,1)+OFFSET(_Bonus,$AG45,0,1,1),1)+(AL$4-AK$4)*AL45</f>
        <v>27</v>
      </c>
      <c r="E45" s="211" t="str">
        <f t="shared" ref="E45:E51" ca="1" si="89">IF($Y45=2,IF(AL$44&lt;6,OFFSET(_MagHranTab,AL$44-1,$AH45-6,1,1),CONCATENATE(OFFSET(_MagChodTab,AL$44-6,$AH45-6,1,1)," / ",OFFSET(_MagDruidTab,AL$44-6,$AH45-6,1,1))),IF($Y45=3,OFFSET(_MagAlchTab,IF(AL$44&lt;=9,AL$44-1,8),$AF45-8,1,1),IF($Y45=4,OFFSET(_MagKouzTab,AL$44-1,$AH45-8,1,1),"-")))</f>
        <v>-</v>
      </c>
      <c r="F45" s="112" t="str">
        <f t="shared" ref="F45:J51" ca="1" si="90">CONCATENATE(AE45,"/",IF(OFFSET(_Bonus,AE45,0,1,1)&gt;=0,"+","-"),ABS(OFFSET(_Bonus,AE45,0,1,1)))</f>
        <v>4/-3</v>
      </c>
      <c r="G45" s="112" t="str">
        <f t="shared" ca="1" si="90"/>
        <v>21/+5</v>
      </c>
      <c r="H45" s="112" t="str">
        <f t="shared" ca="1" si="90"/>
        <v>11/+0</v>
      </c>
      <c r="I45" s="112" t="str">
        <f t="shared" ca="1" si="90"/>
        <v>12/+0</v>
      </c>
      <c r="J45" s="112" t="str">
        <f t="shared" ca="1" si="90"/>
        <v>19/+4</v>
      </c>
      <c r="K45" s="175" t="str">
        <f t="shared" ref="K45:K51" ca="1" si="91">CONCATENATE(AH45+IF(OR(C45="Kroll",C45="Barbar",C45="Trpaslík"),5,0),"%")</f>
        <v>12%</v>
      </c>
      <c r="L45" s="174" t="str">
        <f t="shared" ref="L45:L51" ca="1" si="92">CONCATENATE(FLOOR(AH45/2,1)+IF(OR(C45="Elf",C45="Hobit",C45="Kud;k"),5,0),"%")</f>
        <v>11%</v>
      </c>
      <c r="M45" s="112">
        <f t="shared" ref="M45:M51" ca="1" si="93">ROUND(D45*IF(AG45&lt;6,1/4,IF(AG45&lt;12,1/6,IF(AG45&lt;17,1/8,1/D45))),0)</f>
        <v>5</v>
      </c>
      <c r="N45" s="144">
        <f t="shared" ref="N45:N51" ca="1" si="94">FLOOR(D45/3,1)</f>
        <v>9</v>
      </c>
      <c r="O45" s="143">
        <f ca="1">IF(AG45&lt;6,-3,IF(AG45&lt;12,-2,IF(AG45&lt;17,-1,0)))</f>
        <v>-2</v>
      </c>
      <c r="P45" s="129"/>
      <c r="Q45" s="129"/>
      <c r="R45" s="129"/>
      <c r="S45" s="129"/>
      <c r="T45" s="129"/>
      <c r="U45" s="129"/>
      <c r="V45" s="129"/>
      <c r="X45" s="124">
        <v>1</v>
      </c>
      <c r="Y45" s="125">
        <v>5</v>
      </c>
      <c r="Z45" s="124">
        <f t="shared" ref="Z45:Z51" ca="1" si="95">IF(OFFSET(_Vlastnosti_Povolani_k6,$Y45-1,0,1,1)=1,OFFSET(_Vlastnosti_Povolani_k6,$Y45-1,0,1,1),OFFSET(_Vlastnosti_Rasa_k6,$X45-1,0,1,1))</f>
        <v>1</v>
      </c>
      <c r="AA45" s="126">
        <f t="shared" ref="AA45:AA51" ca="1" si="96">IF(OFFSET(_Vlastnosti_Povolani_k6,$Y45-1,1,1,1)=1,OFFSET(_Vlastnosti_Povolani_k6,$Y45-1,1,1,1),OFFSET(_Vlastnosti_Rasa_k6,$X45-1,1,1,1))</f>
        <v>1</v>
      </c>
      <c r="AB45" s="126">
        <f t="shared" ref="AB45:AB51" ca="1" si="97">IF(OFFSET(_Vlastnosti_Povolani_k6,$Y45-1,2,1,1)=1,OFFSET(_Vlastnosti_Povolani_k6,$Y45-1,2,1,1),OFFSET(_Vlastnosti_Rasa_k6,$X45-1,2,1,1))</f>
        <v>1</v>
      </c>
      <c r="AC45" s="126">
        <f t="shared" ref="AC45:AC51" ca="1" si="98">IF(OFFSET(_Vlastnosti_Povolani_k6,$Y45-1,3,1,1)=1,OFFSET(_Vlastnosti_Povolani_k6,$Y45-1,3,1,1),OFFSET(_Vlastnosti_Rasa_k6,$X45-1,3,1,1))</f>
        <v>1</v>
      </c>
      <c r="AD45" s="125">
        <f t="shared" ref="AD45:AD51" ca="1" si="99">IF(OFFSET(_Vlastnosti_Povolani_k6,$Y45-1,4,1,1)=1,OFFSET(_Vlastnosti_Povolani_k6,$Y45-1,4,1,1),OFFSET(_Vlastnosti_Rasa_k6,$X45-1,4,1,1))</f>
        <v>1</v>
      </c>
      <c r="AE45" s="124">
        <f t="shared" ref="AE45:AE51" ca="1" si="100">IF(OFFSET(_Vlastnosti_Povolani_k6,$Y45-1,0,1,1)=1,OFFSET(_Vlastnosti_Povolani,$Y45-1,0,1,1)-OFFSET(_Vlastnosti_Povolani_k6,$Y45-1,0,1,1)+Z45*AE$44+OFFSET(_Vlastnosti_Povolani_Oprava,$X45-1,0,1,1),OFFSET(_Vlastnosti_Rasa,$X45-1,0,1,1)-OFFSET(_Vlastnosti_Rasa_k6,$X45-1,0,1,1)+Z45*AE$44)</f>
        <v>4</v>
      </c>
      <c r="AF45" s="126">
        <f t="shared" ref="AF45:AF51" ca="1" si="101">IF(OFFSET(_Vlastnosti_Povolani_k6,$Y45-1,1,1,1)=1,OFFSET(_Vlastnosti_Povolani,$Y45-1,1,1,1)-OFFSET(_Vlastnosti_Povolani_k6,$Y45-1,1,1,1)+AA45*AF$44+OFFSET(_Vlastnosti_Povolani_Oprava,$X45-1,1,1,1),OFFSET(_Vlastnosti_Rasa,$X45-1,1,1,1)-OFFSET(_Vlastnosti_Rasa_k6,$X45-1,1,1,1)+AA45*AF$44)</f>
        <v>21</v>
      </c>
      <c r="AG45" s="126">
        <f t="shared" ref="AG45:AG51" ca="1" si="102">IF(OFFSET(_Vlastnosti_Povolani_k6,$Y45-1,2,1,1)=1,OFFSET(_Vlastnosti_Povolani,$Y45-1,2,1,1)-OFFSET(_Vlastnosti_Povolani_k6,$Y45-1,2,1,1)+AB45*AG$44+OFFSET(_Vlastnosti_Povolani_Oprava,$X45-1,2,1,1),OFFSET(_Vlastnosti_Rasa,$X45-1,2,1,1)-OFFSET(_Vlastnosti_Rasa_k6,$X45-1,2,1,1)+AB45*AG$44)</f>
        <v>11</v>
      </c>
      <c r="AH45" s="126">
        <f t="shared" ref="AH45:AH51" ca="1" si="103">IF(OFFSET(_Vlastnosti_Povolani_k6,$Y45-1,3,1,1)=1,OFFSET(_Vlastnosti_Povolani,$Y45-1,3,1,1)-OFFSET(_Vlastnosti_Povolani_k6,$Y45-1,3,1,1)+AC45*AH$44+OFFSET(_Vlastnosti_Povolani_Oprava,$X45-1,3,1,1),OFFSET(_Vlastnosti_Rasa,$X45-1,3,1,1)-OFFSET(_Vlastnosti_Rasa_k6,$X45-1,3,1,1)+AC45*AH$44)</f>
        <v>12</v>
      </c>
      <c r="AI45" s="125">
        <f t="shared" ref="AI45:AI51" ca="1" si="104">IF(OFFSET(_Vlastnosti_Povolani_k6,$Y45-1,4,1,1)=1,OFFSET(_Vlastnosti_Povolani,$Y45-1,4,1,1)-OFFSET(_Vlastnosti_Povolani_k6,$Y45-1,4,1,1)+AD45*AI$44+OFFSET(_Vlastnosti_Povolani_Oprava,$X45-1,4,1,1),OFFSET(_Vlastnosti_Rasa,$X45-1,4,1,1)-OFFSET(_Vlastnosti_Rasa_k6,$X45-1,4,1,1)+AD45*AI$44)</f>
        <v>19</v>
      </c>
      <c r="AJ45" s="124">
        <f t="shared" ref="AJ45:AJ51" ca="1" si="105">OFFSET(_ZivTab,Y45-1,1,1,1)</f>
        <v>6</v>
      </c>
      <c r="AK45" s="126">
        <f ca="1">$AJ45/2</f>
        <v>3</v>
      </c>
      <c r="AL45" s="125">
        <v>1</v>
      </c>
    </row>
    <row r="46" spans="2:38" ht="17.100000000000001" customHeight="1" x14ac:dyDescent="0.25">
      <c r="B46" s="244"/>
      <c r="C46" s="179" t="s">
        <v>2</v>
      </c>
      <c r="D46" s="170">
        <f t="shared" ca="1" si="88"/>
        <v>35</v>
      </c>
      <c r="E46" s="212" t="str">
        <f t="shared" ca="1" si="89"/>
        <v>-</v>
      </c>
      <c r="F46" s="108" t="str">
        <f t="shared" ca="1" si="90"/>
        <v>6/-2</v>
      </c>
      <c r="G46" s="108" t="str">
        <f t="shared" ca="1" si="90"/>
        <v>20/+4</v>
      </c>
      <c r="H46" s="108" t="str">
        <f t="shared" ca="1" si="90"/>
        <v>13/+1</v>
      </c>
      <c r="I46" s="108" t="str">
        <f t="shared" ca="1" si="90"/>
        <v>11/+0</v>
      </c>
      <c r="J46" s="108" t="str">
        <f t="shared" ca="1" si="90"/>
        <v>16/+2</v>
      </c>
      <c r="K46" s="176" t="str">
        <f t="shared" ca="1" si="91"/>
        <v>11%</v>
      </c>
      <c r="L46" s="109" t="str">
        <f t="shared" ca="1" si="92"/>
        <v>5%</v>
      </c>
      <c r="M46" s="108">
        <f t="shared" ca="1" si="93"/>
        <v>4</v>
      </c>
      <c r="N46" s="145">
        <f t="shared" ca="1" si="94"/>
        <v>11</v>
      </c>
      <c r="O46" s="109">
        <f t="shared" ref="O46:O51" ca="1" si="106">IF(AG46&lt;6,-3,IF(AG46&lt;12,-2,IF(AG46&lt;17,-1,0)))</f>
        <v>-1</v>
      </c>
      <c r="P46" s="129"/>
      <c r="Q46" s="129"/>
      <c r="R46" s="129"/>
      <c r="S46" s="129"/>
      <c r="T46" s="129"/>
      <c r="U46" s="129"/>
      <c r="V46" s="129"/>
      <c r="X46" s="127">
        <v>2</v>
      </c>
      <c r="Y46" s="128">
        <v>5</v>
      </c>
      <c r="Z46" s="127">
        <f t="shared" ca="1" si="95"/>
        <v>1</v>
      </c>
      <c r="AA46" s="129">
        <f t="shared" ca="1" si="96"/>
        <v>1</v>
      </c>
      <c r="AB46" s="129">
        <f t="shared" ca="1" si="97"/>
        <v>1</v>
      </c>
      <c r="AC46" s="129">
        <f t="shared" ca="1" si="98"/>
        <v>1</v>
      </c>
      <c r="AD46" s="128">
        <f t="shared" ca="1" si="99"/>
        <v>1</v>
      </c>
      <c r="AE46" s="127">
        <f t="shared" ca="1" si="100"/>
        <v>6</v>
      </c>
      <c r="AF46" s="129">
        <f t="shared" ca="1" si="101"/>
        <v>20</v>
      </c>
      <c r="AG46" s="129">
        <f t="shared" ca="1" si="102"/>
        <v>13</v>
      </c>
      <c r="AH46" s="129">
        <f t="shared" ca="1" si="103"/>
        <v>11</v>
      </c>
      <c r="AI46" s="128">
        <f t="shared" ca="1" si="104"/>
        <v>16</v>
      </c>
      <c r="AJ46" s="127">
        <f t="shared" ca="1" si="105"/>
        <v>6</v>
      </c>
      <c r="AK46" s="129">
        <f t="shared" ref="AK46:AK51" ca="1" si="107">$AJ46/2</f>
        <v>3</v>
      </c>
      <c r="AL46" s="128">
        <v>1</v>
      </c>
    </row>
    <row r="47" spans="2:38" ht="17.100000000000001" customHeight="1" x14ac:dyDescent="0.25">
      <c r="B47" s="244"/>
      <c r="C47" s="179" t="s">
        <v>3</v>
      </c>
      <c r="D47" s="170">
        <f t="shared" ca="1" si="88"/>
        <v>43</v>
      </c>
      <c r="E47" s="212" t="str">
        <f t="shared" ca="1" si="89"/>
        <v>-</v>
      </c>
      <c r="F47" s="108" t="str">
        <f t="shared" ca="1" si="90"/>
        <v>8/-1</v>
      </c>
      <c r="G47" s="108" t="str">
        <f t="shared" ca="1" si="90"/>
        <v>17/+3</v>
      </c>
      <c r="H47" s="108" t="str">
        <f t="shared" ca="1" si="90"/>
        <v>15/+2</v>
      </c>
      <c r="I47" s="108" t="str">
        <f t="shared" ca="1" si="90"/>
        <v>10/+0</v>
      </c>
      <c r="J47" s="108" t="str">
        <f t="shared" ca="1" si="90"/>
        <v>14/+1</v>
      </c>
      <c r="K47" s="176" t="str">
        <f t="shared" ca="1" si="91"/>
        <v>15%</v>
      </c>
      <c r="L47" s="109" t="str">
        <f t="shared" ca="1" si="92"/>
        <v>5%</v>
      </c>
      <c r="M47" s="108">
        <f t="shared" ca="1" si="93"/>
        <v>5</v>
      </c>
      <c r="N47" s="145">
        <f t="shared" ca="1" si="94"/>
        <v>14</v>
      </c>
      <c r="O47" s="109">
        <f t="shared" ca="1" si="106"/>
        <v>-1</v>
      </c>
      <c r="P47" s="129"/>
      <c r="Q47" s="129"/>
      <c r="R47" s="129"/>
      <c r="S47" s="129"/>
      <c r="T47" s="129"/>
      <c r="U47" s="129"/>
      <c r="V47" s="129"/>
      <c r="X47" s="127">
        <v>3</v>
      </c>
      <c r="Y47" s="128">
        <v>5</v>
      </c>
      <c r="Z47" s="127">
        <f t="shared" ca="1" si="95"/>
        <v>1</v>
      </c>
      <c r="AA47" s="129">
        <f t="shared" ca="1" si="96"/>
        <v>1</v>
      </c>
      <c r="AB47" s="129">
        <f t="shared" ca="1" si="97"/>
        <v>1</v>
      </c>
      <c r="AC47" s="129">
        <f t="shared" ca="1" si="98"/>
        <v>1</v>
      </c>
      <c r="AD47" s="128">
        <f t="shared" ca="1" si="99"/>
        <v>1</v>
      </c>
      <c r="AE47" s="127">
        <f t="shared" ca="1" si="100"/>
        <v>8</v>
      </c>
      <c r="AF47" s="129">
        <f t="shared" ca="1" si="101"/>
        <v>17</v>
      </c>
      <c r="AG47" s="129">
        <f t="shared" ca="1" si="102"/>
        <v>15</v>
      </c>
      <c r="AH47" s="129">
        <f t="shared" ca="1" si="103"/>
        <v>10</v>
      </c>
      <c r="AI47" s="128">
        <f t="shared" ca="1" si="104"/>
        <v>14</v>
      </c>
      <c r="AJ47" s="127">
        <f t="shared" ca="1" si="105"/>
        <v>6</v>
      </c>
      <c r="AK47" s="129">
        <f t="shared" ca="1" si="107"/>
        <v>3</v>
      </c>
      <c r="AL47" s="128">
        <v>1</v>
      </c>
    </row>
    <row r="48" spans="2:38" ht="17.100000000000001" customHeight="1" x14ac:dyDescent="0.25">
      <c r="B48" s="244"/>
      <c r="C48" s="179" t="s">
        <v>4</v>
      </c>
      <c r="D48" s="170">
        <f t="shared" ca="1" si="88"/>
        <v>19</v>
      </c>
      <c r="E48" s="212" t="str">
        <f t="shared" ca="1" si="89"/>
        <v>-</v>
      </c>
      <c r="F48" s="108" t="str">
        <f t="shared" ca="1" si="90"/>
        <v>7/-2</v>
      </c>
      <c r="G48" s="108" t="str">
        <f t="shared" ca="1" si="90"/>
        <v>20/+4</v>
      </c>
      <c r="H48" s="108" t="str">
        <f t="shared" ca="1" si="90"/>
        <v>9/-1</v>
      </c>
      <c r="I48" s="108" t="str">
        <f t="shared" ca="1" si="90"/>
        <v>14/+1</v>
      </c>
      <c r="J48" s="108" t="str">
        <f t="shared" ca="1" si="90"/>
        <v>18/+3</v>
      </c>
      <c r="K48" s="176" t="str">
        <f t="shared" ca="1" si="91"/>
        <v>14%</v>
      </c>
      <c r="L48" s="109" t="str">
        <f t="shared" ca="1" si="92"/>
        <v>12%</v>
      </c>
      <c r="M48" s="108">
        <f t="shared" ca="1" si="93"/>
        <v>3</v>
      </c>
      <c r="N48" s="145">
        <f t="shared" ca="1" si="94"/>
        <v>6</v>
      </c>
      <c r="O48" s="109">
        <f t="shared" ca="1" si="106"/>
        <v>-2</v>
      </c>
      <c r="P48" s="129"/>
      <c r="Q48" s="129"/>
      <c r="R48" s="129"/>
      <c r="S48" s="129"/>
      <c r="T48" s="129"/>
      <c r="U48" s="129"/>
      <c r="V48" s="129"/>
      <c r="X48" s="127">
        <v>4</v>
      </c>
      <c r="Y48" s="128">
        <v>5</v>
      </c>
      <c r="Z48" s="127">
        <f t="shared" ca="1" si="95"/>
        <v>1</v>
      </c>
      <c r="AA48" s="129">
        <f t="shared" ca="1" si="96"/>
        <v>1</v>
      </c>
      <c r="AB48" s="129">
        <f t="shared" ca="1" si="97"/>
        <v>1</v>
      </c>
      <c r="AC48" s="129">
        <f t="shared" ca="1" si="98"/>
        <v>1</v>
      </c>
      <c r="AD48" s="128">
        <f t="shared" ca="1" si="99"/>
        <v>1</v>
      </c>
      <c r="AE48" s="127">
        <f t="shared" ca="1" si="100"/>
        <v>7</v>
      </c>
      <c r="AF48" s="129">
        <f t="shared" ca="1" si="101"/>
        <v>20</v>
      </c>
      <c r="AG48" s="129">
        <f t="shared" ca="1" si="102"/>
        <v>9</v>
      </c>
      <c r="AH48" s="129">
        <f t="shared" ca="1" si="103"/>
        <v>14</v>
      </c>
      <c r="AI48" s="128">
        <f t="shared" ca="1" si="104"/>
        <v>18</v>
      </c>
      <c r="AJ48" s="127">
        <f t="shared" ca="1" si="105"/>
        <v>6</v>
      </c>
      <c r="AK48" s="129">
        <f t="shared" ca="1" si="107"/>
        <v>3</v>
      </c>
      <c r="AL48" s="128">
        <v>1</v>
      </c>
    </row>
    <row r="49" spans="2:38" ht="17.100000000000001" customHeight="1" x14ac:dyDescent="0.25">
      <c r="B49" s="244"/>
      <c r="C49" s="179" t="s">
        <v>5</v>
      </c>
      <c r="D49" s="170">
        <f t="shared" ca="1" si="88"/>
        <v>27</v>
      </c>
      <c r="E49" s="212" t="str">
        <f t="shared" ca="1" si="89"/>
        <v>-</v>
      </c>
      <c r="F49" s="108" t="str">
        <f t="shared" ca="1" si="90"/>
        <v>8/-1</v>
      </c>
      <c r="G49" s="108" t="str">
        <f t="shared" ca="1" si="90"/>
        <v>19/+4</v>
      </c>
      <c r="H49" s="108" t="str">
        <f t="shared" ca="1" si="90"/>
        <v>12/+0</v>
      </c>
      <c r="I49" s="108" t="str">
        <f t="shared" ca="1" si="90"/>
        <v>12/+0</v>
      </c>
      <c r="J49" s="108" t="str">
        <f t="shared" ca="1" si="90"/>
        <v>16/+2</v>
      </c>
      <c r="K49" s="176" t="str">
        <f t="shared" ca="1" si="91"/>
        <v>12%</v>
      </c>
      <c r="L49" s="109" t="str">
        <f t="shared" ca="1" si="92"/>
        <v>6%</v>
      </c>
      <c r="M49" s="108">
        <f t="shared" ca="1" si="93"/>
        <v>3</v>
      </c>
      <c r="N49" s="145">
        <f t="shared" ca="1" si="94"/>
        <v>9</v>
      </c>
      <c r="O49" s="109">
        <f t="shared" ca="1" si="106"/>
        <v>-1</v>
      </c>
      <c r="P49" s="129"/>
      <c r="Q49" s="129"/>
      <c r="R49" s="129"/>
      <c r="S49" s="129"/>
      <c r="T49" s="129"/>
      <c r="U49" s="129"/>
      <c r="V49" s="129"/>
      <c r="X49" s="127">
        <v>5</v>
      </c>
      <c r="Y49" s="128">
        <v>5</v>
      </c>
      <c r="Z49" s="127">
        <f t="shared" ca="1" si="95"/>
        <v>2</v>
      </c>
      <c r="AA49" s="129">
        <f t="shared" ca="1" si="96"/>
        <v>1</v>
      </c>
      <c r="AB49" s="129">
        <f t="shared" ca="1" si="97"/>
        <v>1</v>
      </c>
      <c r="AC49" s="129">
        <f t="shared" ca="1" si="98"/>
        <v>1</v>
      </c>
      <c r="AD49" s="128">
        <f t="shared" ca="1" si="99"/>
        <v>1</v>
      </c>
      <c r="AE49" s="127">
        <f t="shared" ca="1" si="100"/>
        <v>8</v>
      </c>
      <c r="AF49" s="129">
        <f t="shared" ca="1" si="101"/>
        <v>19</v>
      </c>
      <c r="AG49" s="129">
        <f t="shared" ca="1" si="102"/>
        <v>12</v>
      </c>
      <c r="AH49" s="129">
        <f t="shared" ca="1" si="103"/>
        <v>12</v>
      </c>
      <c r="AI49" s="128">
        <f t="shared" ca="1" si="104"/>
        <v>16</v>
      </c>
      <c r="AJ49" s="127">
        <f t="shared" ca="1" si="105"/>
        <v>6</v>
      </c>
      <c r="AK49" s="129">
        <f t="shared" ca="1" si="107"/>
        <v>3</v>
      </c>
      <c r="AL49" s="128">
        <v>1</v>
      </c>
    </row>
    <row r="50" spans="2:38" ht="17.100000000000001" customHeight="1" x14ac:dyDescent="0.25">
      <c r="B50" s="244"/>
      <c r="C50" s="179" t="s">
        <v>6</v>
      </c>
      <c r="D50" s="170">
        <f t="shared" ca="1" si="88"/>
        <v>35</v>
      </c>
      <c r="E50" s="212" t="str">
        <f t="shared" ca="1" si="89"/>
        <v>-</v>
      </c>
      <c r="F50" s="108" t="str">
        <f t="shared" ca="1" si="90"/>
        <v>11/+0</v>
      </c>
      <c r="G50" s="108" t="str">
        <f t="shared" ca="1" si="90"/>
        <v>18/+3</v>
      </c>
      <c r="H50" s="108" t="str">
        <f t="shared" ca="1" si="90"/>
        <v>14/+1</v>
      </c>
      <c r="I50" s="108" t="str">
        <f t="shared" ca="1" si="90"/>
        <v>8/-1</v>
      </c>
      <c r="J50" s="108" t="str">
        <f t="shared" ca="1" si="90"/>
        <v>14/+1</v>
      </c>
      <c r="K50" s="176" t="str">
        <f t="shared" ca="1" si="91"/>
        <v>13%</v>
      </c>
      <c r="L50" s="109" t="str">
        <f t="shared" ca="1" si="92"/>
        <v>4%</v>
      </c>
      <c r="M50" s="108">
        <f t="shared" ca="1" si="93"/>
        <v>4</v>
      </c>
      <c r="N50" s="145">
        <f t="shared" ca="1" si="94"/>
        <v>11</v>
      </c>
      <c r="O50" s="109">
        <f t="shared" ca="1" si="106"/>
        <v>-1</v>
      </c>
      <c r="P50" s="129"/>
      <c r="Q50" s="129"/>
      <c r="R50" s="129"/>
      <c r="S50" s="129"/>
      <c r="T50" s="129"/>
      <c r="U50" s="129"/>
      <c r="V50" s="129"/>
      <c r="X50" s="127">
        <v>6</v>
      </c>
      <c r="Y50" s="128">
        <v>5</v>
      </c>
      <c r="Z50" s="127">
        <f t="shared" ca="1" si="95"/>
        <v>1</v>
      </c>
      <c r="AA50" s="129">
        <f t="shared" ca="1" si="96"/>
        <v>1</v>
      </c>
      <c r="AB50" s="129">
        <f t="shared" ca="1" si="97"/>
        <v>1</v>
      </c>
      <c r="AC50" s="129">
        <f t="shared" ca="1" si="98"/>
        <v>1</v>
      </c>
      <c r="AD50" s="128">
        <f t="shared" ca="1" si="99"/>
        <v>1</v>
      </c>
      <c r="AE50" s="127">
        <f t="shared" ca="1" si="100"/>
        <v>11</v>
      </c>
      <c r="AF50" s="129">
        <f t="shared" ca="1" si="101"/>
        <v>18</v>
      </c>
      <c r="AG50" s="129">
        <f t="shared" ca="1" si="102"/>
        <v>14</v>
      </c>
      <c r="AH50" s="129">
        <f t="shared" ca="1" si="103"/>
        <v>8</v>
      </c>
      <c r="AI50" s="128">
        <f t="shared" ca="1" si="104"/>
        <v>14</v>
      </c>
      <c r="AJ50" s="127">
        <f t="shared" ca="1" si="105"/>
        <v>6</v>
      </c>
      <c r="AK50" s="129">
        <f t="shared" ca="1" si="107"/>
        <v>3</v>
      </c>
      <c r="AL50" s="128">
        <v>1</v>
      </c>
    </row>
    <row r="51" spans="2:38" ht="17.100000000000001" customHeight="1" thickBot="1" x14ac:dyDescent="0.3">
      <c r="B51" s="245"/>
      <c r="C51" s="180" t="s">
        <v>7</v>
      </c>
      <c r="D51" s="171">
        <f t="shared" ca="1" si="88"/>
        <v>43</v>
      </c>
      <c r="E51" s="213" t="str">
        <f t="shared" ca="1" si="89"/>
        <v>-</v>
      </c>
      <c r="F51" s="110" t="str">
        <f t="shared" ca="1" si="90"/>
        <v>12/+0</v>
      </c>
      <c r="G51" s="110" t="str">
        <f t="shared" ca="1" si="90"/>
        <v>15/+2</v>
      </c>
      <c r="H51" s="110" t="str">
        <f t="shared" ca="1" si="90"/>
        <v>16/+2</v>
      </c>
      <c r="I51" s="110" t="str">
        <f t="shared" ca="1" si="90"/>
        <v>4/-3</v>
      </c>
      <c r="J51" s="110" t="str">
        <f t="shared" ca="1" si="90"/>
        <v>11/+0</v>
      </c>
      <c r="K51" s="177" t="str">
        <f t="shared" ca="1" si="91"/>
        <v>9%</v>
      </c>
      <c r="L51" s="111" t="str">
        <f t="shared" ca="1" si="92"/>
        <v>2%</v>
      </c>
      <c r="M51" s="110">
        <f t="shared" ca="1" si="93"/>
        <v>5</v>
      </c>
      <c r="N51" s="146">
        <f t="shared" ca="1" si="94"/>
        <v>14</v>
      </c>
      <c r="O51" s="111">
        <f t="shared" ca="1" si="106"/>
        <v>-1</v>
      </c>
      <c r="P51" s="129"/>
      <c r="Q51" s="129"/>
      <c r="R51" s="129"/>
      <c r="S51" s="129"/>
      <c r="T51" s="129"/>
      <c r="U51" s="129"/>
      <c r="V51" s="129"/>
      <c r="X51" s="130">
        <v>7</v>
      </c>
      <c r="Y51" s="131">
        <v>5</v>
      </c>
      <c r="Z51" s="130">
        <f t="shared" ca="1" si="95"/>
        <v>1</v>
      </c>
      <c r="AA51" s="132">
        <f t="shared" ca="1" si="96"/>
        <v>1</v>
      </c>
      <c r="AB51" s="132">
        <f t="shared" ca="1" si="97"/>
        <v>1</v>
      </c>
      <c r="AC51" s="132">
        <f t="shared" ca="1" si="98"/>
        <v>1</v>
      </c>
      <c r="AD51" s="131">
        <f t="shared" ca="1" si="99"/>
        <v>1</v>
      </c>
      <c r="AE51" s="130">
        <f t="shared" ca="1" si="100"/>
        <v>12</v>
      </c>
      <c r="AF51" s="132">
        <f t="shared" ca="1" si="101"/>
        <v>15</v>
      </c>
      <c r="AG51" s="132">
        <f t="shared" ca="1" si="102"/>
        <v>16</v>
      </c>
      <c r="AH51" s="132">
        <f t="shared" ca="1" si="103"/>
        <v>4</v>
      </c>
      <c r="AI51" s="131">
        <f t="shared" ca="1" si="104"/>
        <v>11</v>
      </c>
      <c r="AJ51" s="130">
        <f t="shared" ca="1" si="105"/>
        <v>6</v>
      </c>
      <c r="AK51" s="132">
        <f t="shared" ca="1" si="107"/>
        <v>3</v>
      </c>
      <c r="AL51" s="131">
        <v>1</v>
      </c>
    </row>
    <row r="52" spans="2:38" ht="17.100000000000001" customHeight="1" x14ac:dyDescent="0.25"/>
    <row r="53" spans="2:38" ht="17.100000000000001" customHeight="1" x14ac:dyDescent="0.25">
      <c r="B53" s="104" t="s">
        <v>374</v>
      </c>
    </row>
    <row r="58" spans="2:38" x14ac:dyDescent="0.25">
      <c r="C58" s="138"/>
    </row>
  </sheetData>
  <mergeCells count="35">
    <mergeCell ref="D43:E43"/>
    <mergeCell ref="N4:O4"/>
    <mergeCell ref="B45:B51"/>
    <mergeCell ref="B35:B41"/>
    <mergeCell ref="N34:O34"/>
    <mergeCell ref="N44:O44"/>
    <mergeCell ref="M43:O43"/>
    <mergeCell ref="F43:J43"/>
    <mergeCell ref="K43:L43"/>
    <mergeCell ref="F33:J33"/>
    <mergeCell ref="K33:L33"/>
    <mergeCell ref="M33:O33"/>
    <mergeCell ref="B5:B11"/>
    <mergeCell ref="B15:B21"/>
    <mergeCell ref="B25:B31"/>
    <mergeCell ref="N24:O24"/>
    <mergeCell ref="F23:J23"/>
    <mergeCell ref="K23:L23"/>
    <mergeCell ref="M23:O23"/>
    <mergeCell ref="D33:E33"/>
    <mergeCell ref="D13:E13"/>
    <mergeCell ref="D23:E23"/>
    <mergeCell ref="N14:O14"/>
    <mergeCell ref="AJ1:AL1"/>
    <mergeCell ref="X1:Y1"/>
    <mergeCell ref="F13:J13"/>
    <mergeCell ref="K13:L13"/>
    <mergeCell ref="M13:O13"/>
    <mergeCell ref="Z1:AD1"/>
    <mergeCell ref="AE1:AI1"/>
    <mergeCell ref="M3:O3"/>
    <mergeCell ref="K3:L3"/>
    <mergeCell ref="F3:J3"/>
    <mergeCell ref="B1:O2"/>
    <mergeCell ref="D3:E3"/>
  </mergeCells>
  <printOptions horizontalCentered="1" verticalCentered="1"/>
  <pageMargins left="0.19685039370078741" right="0.19685039370078741" top="0.19685039370078741" bottom="0.19685039370078741" header="0" footer="0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BG307"/>
  <sheetViews>
    <sheetView workbookViewId="0">
      <selection activeCell="AR54" sqref="AR54"/>
    </sheetView>
  </sheetViews>
  <sheetFormatPr defaultRowHeight="12.75" x14ac:dyDescent="0.2"/>
  <cols>
    <col min="1" max="4" width="2.7109375" style="4" customWidth="1"/>
    <col min="5" max="5" width="1.7109375" style="5" customWidth="1"/>
    <col min="6" max="7" width="2.85546875" style="4" customWidth="1"/>
    <col min="8" max="9" width="1.7109375" style="4" customWidth="1"/>
    <col min="10" max="32" width="2.85546875" style="4" customWidth="1"/>
    <col min="33" max="33" width="1.7109375" style="4" customWidth="1"/>
    <col min="34" max="37" width="2.7109375" style="4" customWidth="1"/>
    <col min="38" max="42" width="9.140625" style="4"/>
    <col min="43" max="43" width="9.140625" style="4" customWidth="1"/>
    <col min="44" max="246" width="9.140625" style="4"/>
    <col min="247" max="292" width="2.7109375" style="4" customWidth="1"/>
    <col min="293" max="502" width="9.140625" style="4"/>
    <col min="503" max="548" width="2.7109375" style="4" customWidth="1"/>
    <col min="549" max="758" width="9.140625" style="4"/>
    <col min="759" max="804" width="2.7109375" style="4" customWidth="1"/>
    <col min="805" max="1014" width="9.140625" style="4"/>
    <col min="1015" max="1060" width="2.7109375" style="4" customWidth="1"/>
    <col min="1061" max="1270" width="9.140625" style="4"/>
    <col min="1271" max="1316" width="2.7109375" style="4" customWidth="1"/>
    <col min="1317" max="1526" width="9.140625" style="4"/>
    <col min="1527" max="1572" width="2.7109375" style="4" customWidth="1"/>
    <col min="1573" max="1782" width="9.140625" style="4"/>
    <col min="1783" max="1828" width="2.7109375" style="4" customWidth="1"/>
    <col min="1829" max="2038" width="9.140625" style="4"/>
    <col min="2039" max="2084" width="2.7109375" style="4" customWidth="1"/>
    <col min="2085" max="2294" width="9.140625" style="4"/>
    <col min="2295" max="2340" width="2.7109375" style="4" customWidth="1"/>
    <col min="2341" max="2550" width="9.140625" style="4"/>
    <col min="2551" max="2596" width="2.7109375" style="4" customWidth="1"/>
    <col min="2597" max="2806" width="9.140625" style="4"/>
    <col min="2807" max="2852" width="2.7109375" style="4" customWidth="1"/>
    <col min="2853" max="3062" width="9.140625" style="4"/>
    <col min="3063" max="3108" width="2.7109375" style="4" customWidth="1"/>
    <col min="3109" max="3318" width="9.140625" style="4"/>
    <col min="3319" max="3364" width="2.7109375" style="4" customWidth="1"/>
    <col min="3365" max="3574" width="9.140625" style="4"/>
    <col min="3575" max="3620" width="2.7109375" style="4" customWidth="1"/>
    <col min="3621" max="3830" width="9.140625" style="4"/>
    <col min="3831" max="3876" width="2.7109375" style="4" customWidth="1"/>
    <col min="3877" max="4086" width="9.140625" style="4"/>
    <col min="4087" max="4132" width="2.7109375" style="4" customWidth="1"/>
    <col min="4133" max="4342" width="9.140625" style="4"/>
    <col min="4343" max="4388" width="2.7109375" style="4" customWidth="1"/>
    <col min="4389" max="4598" width="9.140625" style="4"/>
    <col min="4599" max="4644" width="2.7109375" style="4" customWidth="1"/>
    <col min="4645" max="4854" width="9.140625" style="4"/>
    <col min="4855" max="4900" width="2.7109375" style="4" customWidth="1"/>
    <col min="4901" max="5110" width="9.140625" style="4"/>
    <col min="5111" max="5156" width="2.7109375" style="4" customWidth="1"/>
    <col min="5157" max="5366" width="9.140625" style="4"/>
    <col min="5367" max="5412" width="2.7109375" style="4" customWidth="1"/>
    <col min="5413" max="5622" width="9.140625" style="4"/>
    <col min="5623" max="5668" width="2.7109375" style="4" customWidth="1"/>
    <col min="5669" max="5878" width="9.140625" style="4"/>
    <col min="5879" max="5924" width="2.7109375" style="4" customWidth="1"/>
    <col min="5925" max="6134" width="9.140625" style="4"/>
    <col min="6135" max="6180" width="2.7109375" style="4" customWidth="1"/>
    <col min="6181" max="6390" width="9.140625" style="4"/>
    <col min="6391" max="6436" width="2.7109375" style="4" customWidth="1"/>
    <col min="6437" max="6646" width="9.140625" style="4"/>
    <col min="6647" max="6692" width="2.7109375" style="4" customWidth="1"/>
    <col min="6693" max="6902" width="9.140625" style="4"/>
    <col min="6903" max="6948" width="2.7109375" style="4" customWidth="1"/>
    <col min="6949" max="7158" width="9.140625" style="4"/>
    <col min="7159" max="7204" width="2.7109375" style="4" customWidth="1"/>
    <col min="7205" max="7414" width="9.140625" style="4"/>
    <col min="7415" max="7460" width="2.7109375" style="4" customWidth="1"/>
    <col min="7461" max="7670" width="9.140625" style="4"/>
    <col min="7671" max="7716" width="2.7109375" style="4" customWidth="1"/>
    <col min="7717" max="7926" width="9.140625" style="4"/>
    <col min="7927" max="7972" width="2.7109375" style="4" customWidth="1"/>
    <col min="7973" max="8182" width="9.140625" style="4"/>
    <col min="8183" max="8228" width="2.7109375" style="4" customWidth="1"/>
    <col min="8229" max="8438" width="9.140625" style="4"/>
    <col min="8439" max="8484" width="2.7109375" style="4" customWidth="1"/>
    <col min="8485" max="8694" width="9.140625" style="4"/>
    <col min="8695" max="8740" width="2.7109375" style="4" customWidth="1"/>
    <col min="8741" max="8950" width="9.140625" style="4"/>
    <col min="8951" max="8996" width="2.7109375" style="4" customWidth="1"/>
    <col min="8997" max="9206" width="9.140625" style="4"/>
    <col min="9207" max="9252" width="2.7109375" style="4" customWidth="1"/>
    <col min="9253" max="9462" width="9.140625" style="4"/>
    <col min="9463" max="9508" width="2.7109375" style="4" customWidth="1"/>
    <col min="9509" max="9718" width="9.140625" style="4"/>
    <col min="9719" max="9764" width="2.7109375" style="4" customWidth="1"/>
    <col min="9765" max="9974" width="9.140625" style="4"/>
    <col min="9975" max="10020" width="2.7109375" style="4" customWidth="1"/>
    <col min="10021" max="10230" width="9.140625" style="4"/>
    <col min="10231" max="10276" width="2.7109375" style="4" customWidth="1"/>
    <col min="10277" max="10486" width="9.140625" style="4"/>
    <col min="10487" max="10532" width="2.7109375" style="4" customWidth="1"/>
    <col min="10533" max="10742" width="9.140625" style="4"/>
    <col min="10743" max="10788" width="2.7109375" style="4" customWidth="1"/>
    <col min="10789" max="10998" width="9.140625" style="4"/>
    <col min="10999" max="11044" width="2.7109375" style="4" customWidth="1"/>
    <col min="11045" max="11254" width="9.140625" style="4"/>
    <col min="11255" max="11300" width="2.7109375" style="4" customWidth="1"/>
    <col min="11301" max="11510" width="9.140625" style="4"/>
    <col min="11511" max="11556" width="2.7109375" style="4" customWidth="1"/>
    <col min="11557" max="11766" width="9.140625" style="4"/>
    <col min="11767" max="11812" width="2.7109375" style="4" customWidth="1"/>
    <col min="11813" max="12022" width="9.140625" style="4"/>
    <col min="12023" max="12068" width="2.7109375" style="4" customWidth="1"/>
    <col min="12069" max="12278" width="9.140625" style="4"/>
    <col min="12279" max="12324" width="2.7109375" style="4" customWidth="1"/>
    <col min="12325" max="12534" width="9.140625" style="4"/>
    <col min="12535" max="12580" width="2.7109375" style="4" customWidth="1"/>
    <col min="12581" max="12790" width="9.140625" style="4"/>
    <col min="12791" max="12836" width="2.7109375" style="4" customWidth="1"/>
    <col min="12837" max="13046" width="9.140625" style="4"/>
    <col min="13047" max="13092" width="2.7109375" style="4" customWidth="1"/>
    <col min="13093" max="13302" width="9.140625" style="4"/>
    <col min="13303" max="13348" width="2.7109375" style="4" customWidth="1"/>
    <col min="13349" max="13558" width="9.140625" style="4"/>
    <col min="13559" max="13604" width="2.7109375" style="4" customWidth="1"/>
    <col min="13605" max="13814" width="9.140625" style="4"/>
    <col min="13815" max="13860" width="2.7109375" style="4" customWidth="1"/>
    <col min="13861" max="14070" width="9.140625" style="4"/>
    <col min="14071" max="14116" width="2.7109375" style="4" customWidth="1"/>
    <col min="14117" max="14326" width="9.140625" style="4"/>
    <col min="14327" max="14372" width="2.7109375" style="4" customWidth="1"/>
    <col min="14373" max="14582" width="9.140625" style="4"/>
    <col min="14583" max="14628" width="2.7109375" style="4" customWidth="1"/>
    <col min="14629" max="14838" width="9.140625" style="4"/>
    <col min="14839" max="14884" width="2.7109375" style="4" customWidth="1"/>
    <col min="14885" max="15094" width="9.140625" style="4"/>
    <col min="15095" max="15140" width="2.7109375" style="4" customWidth="1"/>
    <col min="15141" max="15350" width="9.140625" style="4"/>
    <col min="15351" max="15396" width="2.7109375" style="4" customWidth="1"/>
    <col min="15397" max="15606" width="9.140625" style="4"/>
    <col min="15607" max="15652" width="2.7109375" style="4" customWidth="1"/>
    <col min="15653" max="15862" width="9.140625" style="4"/>
    <col min="15863" max="15908" width="2.7109375" style="4" customWidth="1"/>
    <col min="15909" max="16118" width="9.140625" style="4"/>
    <col min="16119" max="16164" width="2.7109375" style="4" customWidth="1"/>
    <col min="16165" max="16384" width="9.140625" style="4"/>
  </cols>
  <sheetData>
    <row r="1" spans="1:59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</row>
    <row r="2" spans="1:59" ht="15" customHeight="1" x14ac:dyDescent="0.2">
      <c r="F2" s="1"/>
      <c r="G2" s="1"/>
      <c r="H2" s="1"/>
      <c r="I2" s="1"/>
      <c r="J2" s="1"/>
      <c r="K2" s="1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</row>
    <row r="3" spans="1:59" ht="15" customHeight="1" x14ac:dyDescent="0.2">
      <c r="A3" s="358" t="s">
        <v>52</v>
      </c>
      <c r="B3" s="359"/>
      <c r="C3" s="359"/>
      <c r="D3" s="360"/>
      <c r="E3" s="150"/>
      <c r="F3" s="1"/>
      <c r="G3" s="1"/>
      <c r="H3" s="1"/>
      <c r="I3" s="1"/>
      <c r="J3" s="1"/>
      <c r="K3" s="1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358" t="s">
        <v>18</v>
      </c>
      <c r="AI3" s="359"/>
      <c r="AJ3" s="359"/>
      <c r="AK3" s="36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</row>
    <row r="4" spans="1:59" ht="15" customHeight="1" x14ac:dyDescent="0.2">
      <c r="A4" s="361"/>
      <c r="B4" s="362"/>
      <c r="C4" s="362"/>
      <c r="D4" s="363"/>
      <c r="E4" s="150"/>
      <c r="F4" s="1"/>
      <c r="G4" s="1"/>
      <c r="H4" s="1"/>
      <c r="I4" s="1"/>
      <c r="J4" s="1"/>
      <c r="K4" s="1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361"/>
      <c r="AI4" s="362"/>
      <c r="AJ4" s="362"/>
      <c r="AK4" s="363"/>
    </row>
    <row r="5" spans="1:59" ht="15" customHeight="1" x14ac:dyDescent="0.2">
      <c r="A5" s="249">
        <v>1</v>
      </c>
      <c r="B5" s="249"/>
      <c r="C5" s="249">
        <v>60</v>
      </c>
      <c r="D5" s="249"/>
      <c r="E5" s="151"/>
      <c r="F5" s="1"/>
      <c r="G5" s="1"/>
      <c r="H5" s="1"/>
      <c r="I5" s="1"/>
      <c r="J5" s="1"/>
      <c r="K5" s="1"/>
      <c r="AH5" s="292">
        <v>1</v>
      </c>
      <c r="AI5" s="293"/>
      <c r="AJ5" s="292">
        <v>51</v>
      </c>
      <c r="AK5" s="293"/>
      <c r="AL5" s="147"/>
      <c r="AM5" s="147"/>
      <c r="AN5" s="147"/>
      <c r="AO5" s="147"/>
      <c r="AP5" s="147"/>
      <c r="AQ5" s="147"/>
      <c r="AR5" s="147"/>
    </row>
    <row r="6" spans="1:59" ht="15" customHeight="1" x14ac:dyDescent="0.2">
      <c r="A6" s="249">
        <v>2</v>
      </c>
      <c r="B6" s="249"/>
      <c r="C6" s="249">
        <f>C5+10</f>
        <v>70</v>
      </c>
      <c r="D6" s="249"/>
      <c r="E6" s="151"/>
      <c r="F6" s="1"/>
      <c r="G6" s="1"/>
      <c r="H6" s="1"/>
      <c r="I6" s="1"/>
      <c r="J6" s="1"/>
      <c r="K6" s="1"/>
      <c r="Q6" s="367" t="s">
        <v>366</v>
      </c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9"/>
      <c r="AH6" s="292">
        <v>2</v>
      </c>
      <c r="AI6" s="293"/>
      <c r="AJ6" s="292">
        <v>52</v>
      </c>
      <c r="AK6" s="293"/>
      <c r="AL6" s="147"/>
      <c r="AM6" s="147"/>
      <c r="AN6" s="147"/>
      <c r="AO6" s="147"/>
      <c r="AP6" s="147"/>
      <c r="AQ6" s="147"/>
      <c r="AR6" s="147"/>
    </row>
    <row r="7" spans="1:59" ht="15" customHeight="1" x14ac:dyDescent="0.2">
      <c r="A7" s="249">
        <v>3</v>
      </c>
      <c r="B7" s="249"/>
      <c r="C7" s="249">
        <f t="shared" ref="C7:C52" si="0">C6+10</f>
        <v>80</v>
      </c>
      <c r="D7" s="249"/>
      <c r="E7" s="151"/>
      <c r="F7" s="1"/>
      <c r="G7" s="1"/>
      <c r="H7" s="1"/>
      <c r="I7" s="1"/>
      <c r="J7" s="1"/>
      <c r="K7" s="1"/>
      <c r="Q7" s="370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2"/>
      <c r="AH7" s="292">
        <v>3</v>
      </c>
      <c r="AI7" s="293"/>
      <c r="AJ7" s="292">
        <v>53</v>
      </c>
      <c r="AK7" s="293"/>
      <c r="AL7" s="141"/>
      <c r="AM7" s="141"/>
      <c r="AN7" s="141"/>
      <c r="AO7" s="141"/>
      <c r="AP7" s="141"/>
      <c r="AQ7" s="141"/>
      <c r="AR7" s="141"/>
    </row>
    <row r="8" spans="1:59" ht="15" customHeight="1" x14ac:dyDescent="0.2">
      <c r="A8" s="249">
        <v>4</v>
      </c>
      <c r="B8" s="249"/>
      <c r="C8" s="249">
        <f t="shared" si="0"/>
        <v>90</v>
      </c>
      <c r="D8" s="249"/>
      <c r="E8" s="151"/>
      <c r="F8" s="1"/>
      <c r="G8" s="1"/>
      <c r="H8" s="1"/>
      <c r="I8" s="1"/>
      <c r="J8" s="1"/>
      <c r="K8" s="1"/>
      <c r="L8" s="6"/>
      <c r="M8" s="6"/>
      <c r="Q8" s="328" t="s">
        <v>310</v>
      </c>
      <c r="R8" s="328"/>
      <c r="S8" s="328"/>
      <c r="T8" s="328"/>
      <c r="U8" s="328"/>
      <c r="V8" s="328"/>
      <c r="W8" s="328"/>
      <c r="X8" s="328"/>
      <c r="Y8" s="328" t="s">
        <v>17</v>
      </c>
      <c r="Z8" s="328"/>
      <c r="AA8" s="328"/>
      <c r="AB8" s="328"/>
      <c r="AC8" s="328"/>
      <c r="AD8" s="328"/>
      <c r="AE8" s="328"/>
      <c r="AF8" s="328"/>
      <c r="AH8" s="292">
        <v>4</v>
      </c>
      <c r="AI8" s="293"/>
      <c r="AJ8" s="292">
        <v>54</v>
      </c>
      <c r="AK8" s="293"/>
      <c r="AL8" s="141"/>
      <c r="AM8" s="141"/>
      <c r="AN8" s="141"/>
      <c r="AO8" s="141"/>
      <c r="AP8" s="141"/>
      <c r="AQ8" s="141"/>
      <c r="AR8" s="141"/>
    </row>
    <row r="9" spans="1:59" ht="15" customHeight="1" x14ac:dyDescent="0.2">
      <c r="A9" s="249">
        <v>5</v>
      </c>
      <c r="B9" s="249"/>
      <c r="C9" s="249">
        <f t="shared" si="0"/>
        <v>100</v>
      </c>
      <c r="D9" s="249"/>
      <c r="E9" s="151"/>
      <c r="F9" s="1"/>
      <c r="G9" s="1"/>
      <c r="H9" s="1"/>
      <c r="I9" s="1"/>
      <c r="J9" s="1"/>
      <c r="K9" s="1"/>
      <c r="L9" s="6"/>
      <c r="M9" s="6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H9" s="292">
        <v>5</v>
      </c>
      <c r="AI9" s="293"/>
      <c r="AJ9" s="292">
        <v>55</v>
      </c>
      <c r="AK9" s="293"/>
      <c r="AL9" s="141"/>
      <c r="AM9" s="141"/>
      <c r="AN9" s="141"/>
      <c r="AO9" s="141"/>
      <c r="AP9" s="141"/>
      <c r="AQ9" s="141"/>
      <c r="AR9" s="141"/>
    </row>
    <row r="10" spans="1:59" ht="15" customHeight="1" x14ac:dyDescent="0.2">
      <c r="A10" s="249">
        <v>6</v>
      </c>
      <c r="B10" s="249"/>
      <c r="C10" s="249">
        <f t="shared" si="0"/>
        <v>110</v>
      </c>
      <c r="D10" s="249"/>
      <c r="E10" s="151"/>
      <c r="F10" s="1"/>
      <c r="G10" s="1"/>
      <c r="H10" s="1"/>
      <c r="I10" s="1"/>
      <c r="J10" s="1"/>
      <c r="K10" s="1"/>
      <c r="L10" s="6"/>
      <c r="M10" s="6"/>
      <c r="Q10" s="328" t="s">
        <v>311</v>
      </c>
      <c r="R10" s="328"/>
      <c r="S10" s="328"/>
      <c r="T10" s="328"/>
      <c r="U10" s="328"/>
      <c r="V10" s="328"/>
      <c r="W10" s="328"/>
      <c r="X10" s="328"/>
      <c r="Y10" s="366" t="s">
        <v>315</v>
      </c>
      <c r="Z10" s="328"/>
      <c r="AA10" s="328"/>
      <c r="AB10" s="328"/>
      <c r="AC10" s="328"/>
      <c r="AD10" s="328"/>
      <c r="AE10" s="328"/>
      <c r="AF10" s="328"/>
      <c r="AH10" s="292">
        <v>6</v>
      </c>
      <c r="AI10" s="293"/>
      <c r="AJ10" s="292">
        <v>56</v>
      </c>
      <c r="AK10" s="293"/>
      <c r="AL10" s="141"/>
      <c r="AM10" s="141"/>
      <c r="AN10" s="141"/>
      <c r="AO10" s="141"/>
      <c r="AP10" s="141"/>
      <c r="AQ10" s="141"/>
      <c r="AR10" s="141"/>
    </row>
    <row r="11" spans="1:59" ht="15" customHeight="1" x14ac:dyDescent="0.2">
      <c r="A11" s="249">
        <v>7</v>
      </c>
      <c r="B11" s="249"/>
      <c r="C11" s="249">
        <f t="shared" si="0"/>
        <v>120</v>
      </c>
      <c r="D11" s="249"/>
      <c r="E11" s="151"/>
      <c r="F11" s="1"/>
      <c r="G11" s="1"/>
      <c r="H11" s="1"/>
      <c r="I11" s="1"/>
      <c r="J11" s="1"/>
      <c r="K11" s="1"/>
      <c r="L11" s="6"/>
      <c r="M11" s="6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H11" s="292">
        <v>7</v>
      </c>
      <c r="AI11" s="293"/>
      <c r="AJ11" s="292">
        <v>57</v>
      </c>
      <c r="AK11" s="293"/>
    </row>
    <row r="12" spans="1:59" ht="15" customHeight="1" x14ac:dyDescent="0.2">
      <c r="A12" s="249">
        <v>8</v>
      </c>
      <c r="B12" s="249"/>
      <c r="C12" s="249">
        <f t="shared" si="0"/>
        <v>130</v>
      </c>
      <c r="D12" s="249"/>
      <c r="E12" s="151"/>
      <c r="F12" s="1"/>
      <c r="G12" s="1"/>
      <c r="H12" s="1"/>
      <c r="I12" s="1"/>
      <c r="J12" s="1"/>
      <c r="K12" s="1"/>
      <c r="L12" s="6"/>
      <c r="M12" s="6"/>
      <c r="Q12" s="328" t="s">
        <v>312</v>
      </c>
      <c r="R12" s="328"/>
      <c r="S12" s="328"/>
      <c r="T12" s="328"/>
      <c r="U12" s="328"/>
      <c r="V12" s="328"/>
      <c r="W12" s="328"/>
      <c r="X12" s="328"/>
      <c r="Y12" s="366" t="s">
        <v>316</v>
      </c>
      <c r="Z12" s="328"/>
      <c r="AA12" s="328"/>
      <c r="AB12" s="328"/>
      <c r="AC12" s="328"/>
      <c r="AD12" s="328"/>
      <c r="AE12" s="328"/>
      <c r="AF12" s="328"/>
      <c r="AH12" s="292">
        <v>8</v>
      </c>
      <c r="AI12" s="293"/>
      <c r="AJ12" s="292">
        <v>58</v>
      </c>
      <c r="AK12" s="293"/>
    </row>
    <row r="13" spans="1:59" ht="15" customHeight="1" x14ac:dyDescent="0.2">
      <c r="A13" s="249">
        <v>9</v>
      </c>
      <c r="B13" s="249"/>
      <c r="C13" s="249">
        <f t="shared" si="0"/>
        <v>140</v>
      </c>
      <c r="D13" s="249"/>
      <c r="E13" s="151"/>
      <c r="F13" s="1"/>
      <c r="G13" s="1"/>
      <c r="H13" s="1"/>
      <c r="I13" s="1"/>
      <c r="J13" s="1"/>
      <c r="K13" s="1"/>
      <c r="L13" s="6"/>
      <c r="M13" s="6"/>
      <c r="N13" s="6"/>
      <c r="P13" s="142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141"/>
      <c r="AH13" s="292">
        <v>9</v>
      </c>
      <c r="AI13" s="293"/>
      <c r="AJ13" s="292">
        <v>59</v>
      </c>
      <c r="AK13" s="293"/>
    </row>
    <row r="14" spans="1:59" ht="15" customHeight="1" x14ac:dyDescent="0.2">
      <c r="A14" s="249">
        <v>10</v>
      </c>
      <c r="B14" s="249"/>
      <c r="C14" s="249">
        <f t="shared" si="0"/>
        <v>150</v>
      </c>
      <c r="D14" s="249"/>
      <c r="E14" s="151"/>
      <c r="F14" s="1"/>
      <c r="G14" s="1"/>
      <c r="H14" s="1"/>
      <c r="I14" s="1"/>
      <c r="J14" s="1"/>
      <c r="K14" s="1"/>
      <c r="L14" s="7"/>
      <c r="M14" s="7"/>
      <c r="N14" s="7"/>
      <c r="O14" s="7"/>
      <c r="P14" s="7"/>
      <c r="Q14" s="329" t="s">
        <v>320</v>
      </c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64"/>
      <c r="AC14" s="364"/>
      <c r="AD14" s="333" t="s">
        <v>319</v>
      </c>
      <c r="AE14" s="333"/>
      <c r="AF14" s="334"/>
      <c r="AH14" s="292">
        <v>10</v>
      </c>
      <c r="AI14" s="293"/>
      <c r="AJ14" s="292">
        <v>60</v>
      </c>
      <c r="AK14" s="293"/>
    </row>
    <row r="15" spans="1:59" ht="15" customHeight="1" x14ac:dyDescent="0.2">
      <c r="A15" s="249">
        <v>11</v>
      </c>
      <c r="B15" s="249"/>
      <c r="C15" s="249">
        <f t="shared" si="0"/>
        <v>160</v>
      </c>
      <c r="D15" s="249"/>
      <c r="E15" s="151"/>
      <c r="F15" s="1"/>
      <c r="G15" s="1"/>
      <c r="H15" s="1"/>
      <c r="I15" s="1"/>
      <c r="J15" s="1"/>
      <c r="K15" s="1"/>
      <c r="L15" s="153"/>
      <c r="M15" s="153"/>
      <c r="N15" s="153"/>
      <c r="O15" s="153"/>
      <c r="P15" s="3"/>
      <c r="Q15" s="331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65"/>
      <c r="AC15" s="365"/>
      <c r="AD15" s="335"/>
      <c r="AE15" s="335"/>
      <c r="AF15" s="336"/>
      <c r="AH15" s="292">
        <v>11</v>
      </c>
      <c r="AI15" s="293"/>
      <c r="AJ15" s="292">
        <v>61</v>
      </c>
      <c r="AK15" s="293"/>
    </row>
    <row r="16" spans="1:59" ht="15" customHeight="1" x14ac:dyDescent="0.2">
      <c r="A16" s="249">
        <v>12</v>
      </c>
      <c r="B16" s="249"/>
      <c r="C16" s="249">
        <f t="shared" si="0"/>
        <v>170</v>
      </c>
      <c r="D16" s="249"/>
      <c r="E16" s="151"/>
      <c r="L16" s="5"/>
      <c r="M16" s="5"/>
      <c r="N16" s="5"/>
      <c r="O16" s="5"/>
      <c r="P16" s="12"/>
      <c r="Q16" s="337" t="s">
        <v>317</v>
      </c>
      <c r="R16" s="338"/>
      <c r="S16" s="338"/>
      <c r="T16" s="338"/>
      <c r="U16" s="295"/>
      <c r="V16" s="295"/>
      <c r="W16" s="301" t="s">
        <v>318</v>
      </c>
      <c r="X16" s="301"/>
      <c r="Y16" s="301"/>
      <c r="Z16" s="301"/>
      <c r="AA16" s="301"/>
      <c r="AB16" s="350"/>
      <c r="AC16" s="350"/>
      <c r="AD16" s="333" t="s">
        <v>319</v>
      </c>
      <c r="AE16" s="333"/>
      <c r="AF16" s="334"/>
      <c r="AH16" s="292">
        <v>12</v>
      </c>
      <c r="AI16" s="293"/>
      <c r="AJ16" s="292">
        <v>62</v>
      </c>
      <c r="AK16" s="293"/>
    </row>
    <row r="17" spans="1:53" ht="15" customHeight="1" x14ac:dyDescent="0.2">
      <c r="A17" s="249">
        <v>13</v>
      </c>
      <c r="B17" s="249"/>
      <c r="C17" s="249">
        <f t="shared" si="0"/>
        <v>180</v>
      </c>
      <c r="D17" s="249"/>
      <c r="E17" s="151"/>
      <c r="L17" s="5"/>
      <c r="M17" s="5"/>
      <c r="N17" s="5"/>
      <c r="O17" s="5"/>
      <c r="P17" s="12"/>
      <c r="Q17" s="339"/>
      <c r="R17" s="340"/>
      <c r="S17" s="340"/>
      <c r="T17" s="340"/>
      <c r="U17" s="298"/>
      <c r="V17" s="298"/>
      <c r="W17" s="304"/>
      <c r="X17" s="304"/>
      <c r="Y17" s="304"/>
      <c r="Z17" s="304"/>
      <c r="AA17" s="304"/>
      <c r="AB17" s="351"/>
      <c r="AC17" s="351"/>
      <c r="AD17" s="335"/>
      <c r="AE17" s="335"/>
      <c r="AF17" s="336"/>
      <c r="AH17" s="292">
        <v>13</v>
      </c>
      <c r="AI17" s="293"/>
      <c r="AJ17" s="292">
        <v>63</v>
      </c>
      <c r="AK17" s="293"/>
    </row>
    <row r="18" spans="1:53" ht="15" customHeight="1" x14ac:dyDescent="0.25">
      <c r="A18" s="249">
        <v>14</v>
      </c>
      <c r="B18" s="249"/>
      <c r="C18" s="249">
        <f t="shared" si="0"/>
        <v>190</v>
      </c>
      <c r="D18" s="249"/>
      <c r="E18" s="151"/>
      <c r="P18" s="12"/>
      <c r="Q18" s="158"/>
      <c r="R18" s="154"/>
      <c r="S18" s="154"/>
      <c r="T18" s="154"/>
      <c r="U18" s="154"/>
      <c r="V18" s="154"/>
      <c r="W18" s="154"/>
      <c r="X18" s="156"/>
      <c r="Z18" s="157"/>
      <c r="AA18" s="155"/>
      <c r="AB18" s="155"/>
      <c r="AC18" s="155"/>
      <c r="AD18" s="155"/>
      <c r="AE18" s="148"/>
      <c r="AH18" s="292">
        <v>14</v>
      </c>
      <c r="AI18" s="293"/>
      <c r="AJ18" s="292">
        <v>64</v>
      </c>
      <c r="AK18" s="293"/>
    </row>
    <row r="19" spans="1:53" ht="15" customHeight="1" x14ac:dyDescent="0.2">
      <c r="A19" s="249">
        <v>15</v>
      </c>
      <c r="B19" s="249"/>
      <c r="C19" s="249">
        <f t="shared" si="0"/>
        <v>200</v>
      </c>
      <c r="D19" s="249"/>
      <c r="E19" s="151"/>
      <c r="F19" s="315" t="s">
        <v>16</v>
      </c>
      <c r="G19" s="316"/>
      <c r="H19" s="316"/>
      <c r="I19" s="316"/>
      <c r="J19" s="316"/>
      <c r="K19" s="316"/>
      <c r="L19" s="341"/>
      <c r="M19" s="347"/>
      <c r="N19" s="341"/>
      <c r="O19" s="342"/>
      <c r="P19" s="12"/>
      <c r="Q19" s="352" t="s">
        <v>337</v>
      </c>
      <c r="R19" s="353"/>
      <c r="S19" s="353"/>
      <c r="T19" s="353"/>
      <c r="U19" s="353"/>
      <c r="V19" s="353"/>
      <c r="W19" s="353"/>
      <c r="X19" s="354"/>
      <c r="Y19" s="300"/>
      <c r="Z19" s="301"/>
      <c r="AA19" s="301"/>
      <c r="AB19" s="301"/>
      <c r="AC19" s="301"/>
      <c r="AD19" s="301"/>
      <c r="AE19" s="301"/>
      <c r="AF19" s="302"/>
      <c r="AH19" s="292">
        <v>15</v>
      </c>
      <c r="AI19" s="293"/>
      <c r="AJ19" s="292">
        <v>65</v>
      </c>
      <c r="AK19" s="293"/>
      <c r="AL19" s="147"/>
      <c r="AM19" s="147"/>
      <c r="AN19" s="147"/>
      <c r="AO19" s="147"/>
      <c r="AP19" s="147"/>
      <c r="AQ19" s="140"/>
      <c r="AR19" s="140"/>
      <c r="AS19" s="147"/>
      <c r="AT19" s="147"/>
      <c r="AU19" s="147"/>
      <c r="AV19" s="147"/>
      <c r="AW19" s="147"/>
      <c r="AX19" s="147"/>
      <c r="AY19" s="147"/>
      <c r="AZ19" s="147"/>
      <c r="BA19" s="147"/>
    </row>
    <row r="20" spans="1:53" ht="15" customHeight="1" x14ac:dyDescent="0.2">
      <c r="A20" s="249">
        <v>16</v>
      </c>
      <c r="B20" s="249"/>
      <c r="C20" s="249">
        <f t="shared" si="0"/>
        <v>210</v>
      </c>
      <c r="D20" s="249"/>
      <c r="E20" s="151"/>
      <c r="F20" s="315"/>
      <c r="G20" s="316"/>
      <c r="H20" s="316"/>
      <c r="I20" s="316"/>
      <c r="J20" s="316"/>
      <c r="K20" s="316"/>
      <c r="L20" s="348"/>
      <c r="M20" s="349"/>
      <c r="N20" s="343"/>
      <c r="O20" s="344"/>
      <c r="P20" s="12"/>
      <c r="Q20" s="355"/>
      <c r="R20" s="356"/>
      <c r="S20" s="356"/>
      <c r="T20" s="356"/>
      <c r="U20" s="356"/>
      <c r="V20" s="356"/>
      <c r="W20" s="356"/>
      <c r="X20" s="357"/>
      <c r="Y20" s="303"/>
      <c r="Z20" s="304"/>
      <c r="AA20" s="304"/>
      <c r="AB20" s="304"/>
      <c r="AC20" s="304"/>
      <c r="AD20" s="304"/>
      <c r="AE20" s="304"/>
      <c r="AF20" s="305"/>
      <c r="AH20" s="292">
        <v>16</v>
      </c>
      <c r="AI20" s="293"/>
      <c r="AJ20" s="292">
        <v>66</v>
      </c>
      <c r="AK20" s="293"/>
      <c r="AL20" s="147"/>
      <c r="AM20" s="147"/>
      <c r="AN20" s="147"/>
      <c r="AO20" s="147"/>
      <c r="AP20" s="147"/>
      <c r="AQ20" s="140"/>
      <c r="AR20" s="140"/>
      <c r="AS20" s="147"/>
      <c r="AT20" s="147"/>
      <c r="AU20" s="147"/>
      <c r="AV20" s="147"/>
      <c r="AW20" s="147"/>
      <c r="AX20" s="147"/>
      <c r="AY20" s="147"/>
      <c r="AZ20" s="147"/>
      <c r="BA20" s="147"/>
    </row>
    <row r="21" spans="1:53" ht="15" customHeight="1" x14ac:dyDescent="0.2">
      <c r="A21" s="249">
        <v>17</v>
      </c>
      <c r="B21" s="249"/>
      <c r="C21" s="249">
        <f t="shared" si="0"/>
        <v>220</v>
      </c>
      <c r="D21" s="249"/>
      <c r="E21" s="151"/>
      <c r="F21" s="315" t="s">
        <v>20</v>
      </c>
      <c r="G21" s="316"/>
      <c r="H21" s="316"/>
      <c r="I21" s="316"/>
      <c r="J21" s="316"/>
      <c r="K21" s="316"/>
      <c r="L21" s="341"/>
      <c r="M21" s="347"/>
      <c r="N21" s="341"/>
      <c r="O21" s="342"/>
      <c r="P21" s="12"/>
      <c r="Q21" s="294"/>
      <c r="R21" s="295"/>
      <c r="S21" s="295"/>
      <c r="T21" s="295"/>
      <c r="U21" s="295"/>
      <c r="V21" s="295"/>
      <c r="W21" s="295"/>
      <c r="X21" s="296"/>
      <c r="Y21" s="300"/>
      <c r="Z21" s="301"/>
      <c r="AA21" s="301"/>
      <c r="AB21" s="301"/>
      <c r="AC21" s="301"/>
      <c r="AD21" s="301"/>
      <c r="AE21" s="301"/>
      <c r="AF21" s="302"/>
      <c r="AH21" s="292">
        <v>17</v>
      </c>
      <c r="AI21" s="293"/>
      <c r="AJ21" s="292">
        <v>67</v>
      </c>
      <c r="AK21" s="293"/>
      <c r="AL21" s="147"/>
      <c r="AM21" s="147"/>
      <c r="AN21" s="147"/>
      <c r="AO21" s="147"/>
      <c r="AP21" s="147"/>
      <c r="AQ21" s="147"/>
      <c r="AR21" s="147"/>
      <c r="AS21" s="161"/>
      <c r="AT21" s="147"/>
      <c r="AU21" s="147"/>
      <c r="AV21" s="147"/>
      <c r="AW21" s="147"/>
      <c r="AX21" s="147"/>
      <c r="AY21" s="147"/>
      <c r="AZ21" s="160"/>
      <c r="BA21" s="160"/>
    </row>
    <row r="22" spans="1:53" ht="15" customHeight="1" x14ac:dyDescent="0.2">
      <c r="A22" s="249">
        <v>18</v>
      </c>
      <c r="B22" s="249"/>
      <c r="C22" s="249">
        <f t="shared" si="0"/>
        <v>230</v>
      </c>
      <c r="D22" s="249"/>
      <c r="E22" s="151"/>
      <c r="F22" s="315"/>
      <c r="G22" s="316"/>
      <c r="H22" s="316"/>
      <c r="I22" s="316"/>
      <c r="J22" s="316"/>
      <c r="K22" s="316"/>
      <c r="L22" s="348"/>
      <c r="M22" s="349"/>
      <c r="N22" s="343"/>
      <c r="O22" s="344"/>
      <c r="P22" s="12"/>
      <c r="Q22" s="297"/>
      <c r="R22" s="298"/>
      <c r="S22" s="298"/>
      <c r="T22" s="298"/>
      <c r="U22" s="298"/>
      <c r="V22" s="298"/>
      <c r="W22" s="298"/>
      <c r="X22" s="299"/>
      <c r="Y22" s="303"/>
      <c r="Z22" s="304"/>
      <c r="AA22" s="304"/>
      <c r="AB22" s="304"/>
      <c r="AC22" s="304"/>
      <c r="AD22" s="304"/>
      <c r="AE22" s="304"/>
      <c r="AF22" s="305"/>
      <c r="AH22" s="292">
        <v>18</v>
      </c>
      <c r="AI22" s="293"/>
      <c r="AJ22" s="292">
        <v>68</v>
      </c>
      <c r="AK22" s="293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60"/>
      <c r="BA22" s="160"/>
    </row>
    <row r="23" spans="1:53" ht="15" customHeight="1" x14ac:dyDescent="0.2">
      <c r="A23" s="249">
        <v>19</v>
      </c>
      <c r="B23" s="249"/>
      <c r="C23" s="249">
        <f t="shared" si="0"/>
        <v>240</v>
      </c>
      <c r="D23" s="249"/>
      <c r="E23" s="151"/>
      <c r="F23" s="315" t="s">
        <v>19</v>
      </c>
      <c r="G23" s="316"/>
      <c r="H23" s="316"/>
      <c r="I23" s="316"/>
      <c r="J23" s="316"/>
      <c r="K23" s="316"/>
      <c r="L23" s="341"/>
      <c r="M23" s="347"/>
      <c r="N23" s="341"/>
      <c r="O23" s="342"/>
      <c r="P23" s="12"/>
      <c r="Q23" s="294"/>
      <c r="R23" s="295"/>
      <c r="S23" s="295"/>
      <c r="T23" s="295"/>
      <c r="U23" s="295"/>
      <c r="V23" s="295"/>
      <c r="W23" s="295"/>
      <c r="X23" s="296"/>
      <c r="Y23" s="300"/>
      <c r="Z23" s="301"/>
      <c r="AA23" s="301"/>
      <c r="AB23" s="301"/>
      <c r="AC23" s="301"/>
      <c r="AD23" s="301"/>
      <c r="AE23" s="301"/>
      <c r="AF23" s="302"/>
      <c r="AH23" s="292">
        <v>19</v>
      </c>
      <c r="AI23" s="293"/>
      <c r="AJ23" s="292">
        <v>69</v>
      </c>
      <c r="AK23" s="293"/>
      <c r="AL23" s="147"/>
      <c r="AM23" s="147"/>
      <c r="AN23" s="147"/>
      <c r="AO23" s="147"/>
      <c r="AP23" s="147"/>
      <c r="AQ23" s="147"/>
      <c r="AR23" s="147"/>
      <c r="AS23" s="161"/>
      <c r="AT23" s="147"/>
      <c r="AU23" s="147"/>
      <c r="AV23" s="147"/>
      <c r="AW23" s="147"/>
      <c r="AX23" s="147"/>
      <c r="AY23" s="147"/>
      <c r="AZ23" s="160"/>
      <c r="BA23" s="160"/>
    </row>
    <row r="24" spans="1:53" ht="15" customHeight="1" x14ac:dyDescent="0.2">
      <c r="A24" s="249">
        <v>20</v>
      </c>
      <c r="B24" s="249"/>
      <c r="C24" s="249">
        <f t="shared" si="0"/>
        <v>250</v>
      </c>
      <c r="D24" s="249"/>
      <c r="E24" s="151"/>
      <c r="F24" s="315"/>
      <c r="G24" s="316"/>
      <c r="H24" s="316"/>
      <c r="I24" s="316"/>
      <c r="J24" s="316"/>
      <c r="K24" s="316"/>
      <c r="L24" s="348"/>
      <c r="M24" s="349"/>
      <c r="N24" s="343"/>
      <c r="O24" s="344"/>
      <c r="P24" s="12"/>
      <c r="Q24" s="297"/>
      <c r="R24" s="298"/>
      <c r="S24" s="298"/>
      <c r="T24" s="298"/>
      <c r="U24" s="298"/>
      <c r="V24" s="298"/>
      <c r="W24" s="298"/>
      <c r="X24" s="299"/>
      <c r="Y24" s="303"/>
      <c r="Z24" s="304"/>
      <c r="AA24" s="304"/>
      <c r="AB24" s="304"/>
      <c r="AC24" s="304"/>
      <c r="AD24" s="304"/>
      <c r="AE24" s="304"/>
      <c r="AF24" s="305"/>
      <c r="AH24" s="292">
        <v>20</v>
      </c>
      <c r="AI24" s="293"/>
      <c r="AJ24" s="292">
        <v>70</v>
      </c>
      <c r="AK24" s="293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60"/>
      <c r="BA24" s="160"/>
    </row>
    <row r="25" spans="1:53" ht="15" customHeight="1" x14ac:dyDescent="0.2">
      <c r="A25" s="249">
        <v>21</v>
      </c>
      <c r="B25" s="249"/>
      <c r="C25" s="249">
        <f t="shared" si="0"/>
        <v>260</v>
      </c>
      <c r="D25" s="249"/>
      <c r="E25" s="151"/>
      <c r="F25" s="315" t="s">
        <v>21</v>
      </c>
      <c r="G25" s="316"/>
      <c r="H25" s="316"/>
      <c r="I25" s="316"/>
      <c r="J25" s="316"/>
      <c r="K25" s="316"/>
      <c r="L25" s="341"/>
      <c r="M25" s="347"/>
      <c r="N25" s="341"/>
      <c r="O25" s="342"/>
      <c r="P25" s="12"/>
      <c r="Q25" s="294"/>
      <c r="R25" s="295"/>
      <c r="S25" s="295"/>
      <c r="T25" s="295"/>
      <c r="U25" s="295"/>
      <c r="V25" s="295"/>
      <c r="W25" s="295"/>
      <c r="X25" s="296"/>
      <c r="Y25" s="300"/>
      <c r="Z25" s="301"/>
      <c r="AA25" s="301"/>
      <c r="AB25" s="301"/>
      <c r="AC25" s="301"/>
      <c r="AD25" s="301"/>
      <c r="AE25" s="301"/>
      <c r="AF25" s="302"/>
      <c r="AH25" s="292">
        <v>21</v>
      </c>
      <c r="AI25" s="293"/>
      <c r="AJ25" s="292">
        <v>71</v>
      </c>
      <c r="AK25" s="293"/>
      <c r="AL25" s="5"/>
      <c r="AM25" s="20"/>
      <c r="AN25" s="45"/>
      <c r="AO25" s="5"/>
      <c r="AP25" s="5"/>
      <c r="AQ25" s="5"/>
    </row>
    <row r="26" spans="1:53" ht="15" customHeight="1" x14ac:dyDescent="0.2">
      <c r="A26" s="249">
        <v>22</v>
      </c>
      <c r="B26" s="249"/>
      <c r="C26" s="249">
        <f t="shared" si="0"/>
        <v>270</v>
      </c>
      <c r="D26" s="249"/>
      <c r="E26" s="151"/>
      <c r="F26" s="315"/>
      <c r="G26" s="316"/>
      <c r="H26" s="316"/>
      <c r="I26" s="316"/>
      <c r="J26" s="316"/>
      <c r="K26" s="316"/>
      <c r="L26" s="348"/>
      <c r="M26" s="349"/>
      <c r="N26" s="343"/>
      <c r="O26" s="344"/>
      <c r="P26" s="1"/>
      <c r="Q26" s="297"/>
      <c r="R26" s="298"/>
      <c r="S26" s="298"/>
      <c r="T26" s="298"/>
      <c r="U26" s="298"/>
      <c r="V26" s="298"/>
      <c r="W26" s="298"/>
      <c r="X26" s="299"/>
      <c r="Y26" s="303"/>
      <c r="Z26" s="304"/>
      <c r="AA26" s="304"/>
      <c r="AB26" s="304"/>
      <c r="AC26" s="304"/>
      <c r="AD26" s="304"/>
      <c r="AE26" s="304"/>
      <c r="AF26" s="305"/>
      <c r="AH26" s="292">
        <v>22</v>
      </c>
      <c r="AI26" s="293"/>
      <c r="AJ26" s="292">
        <v>72</v>
      </c>
      <c r="AK26" s="293"/>
      <c r="AL26" s="5"/>
      <c r="AM26" s="5"/>
      <c r="AN26" s="5"/>
      <c r="AO26" s="5"/>
      <c r="AP26" s="5"/>
      <c r="AQ26" s="5"/>
    </row>
    <row r="27" spans="1:53" ht="15" customHeight="1" x14ac:dyDescent="0.2">
      <c r="A27" s="249">
        <v>23</v>
      </c>
      <c r="B27" s="249"/>
      <c r="C27" s="249">
        <f t="shared" si="0"/>
        <v>280</v>
      </c>
      <c r="D27" s="249"/>
      <c r="E27" s="151"/>
      <c r="F27" s="315" t="s">
        <v>22</v>
      </c>
      <c r="G27" s="316"/>
      <c r="H27" s="316"/>
      <c r="I27" s="316"/>
      <c r="J27" s="316"/>
      <c r="K27" s="316"/>
      <c r="L27" s="341"/>
      <c r="M27" s="347"/>
      <c r="N27" s="341"/>
      <c r="O27" s="342"/>
      <c r="P27" s="1"/>
      <c r="Q27" s="294"/>
      <c r="R27" s="295"/>
      <c r="S27" s="295"/>
      <c r="T27" s="295"/>
      <c r="U27" s="295"/>
      <c r="V27" s="295"/>
      <c r="W27" s="295"/>
      <c r="X27" s="296"/>
      <c r="Y27" s="300"/>
      <c r="Z27" s="301"/>
      <c r="AA27" s="301"/>
      <c r="AB27" s="301"/>
      <c r="AC27" s="301"/>
      <c r="AD27" s="301"/>
      <c r="AE27" s="301"/>
      <c r="AF27" s="302"/>
      <c r="AH27" s="292">
        <v>23</v>
      </c>
      <c r="AI27" s="293"/>
      <c r="AJ27" s="292">
        <v>73</v>
      </c>
      <c r="AK27" s="293"/>
      <c r="AL27" s="5"/>
      <c r="AM27" s="5"/>
      <c r="AN27" s="5"/>
      <c r="AO27" s="5"/>
      <c r="AP27" s="5"/>
      <c r="AQ27" s="5"/>
    </row>
    <row r="28" spans="1:53" ht="15" customHeight="1" x14ac:dyDescent="0.2">
      <c r="A28" s="249">
        <v>24</v>
      </c>
      <c r="B28" s="249"/>
      <c r="C28" s="249">
        <f t="shared" si="0"/>
        <v>290</v>
      </c>
      <c r="D28" s="249"/>
      <c r="E28" s="151"/>
      <c r="F28" s="315"/>
      <c r="G28" s="316"/>
      <c r="H28" s="316"/>
      <c r="I28" s="316"/>
      <c r="J28" s="316"/>
      <c r="K28" s="316"/>
      <c r="L28" s="348"/>
      <c r="M28" s="349"/>
      <c r="N28" s="343"/>
      <c r="O28" s="344"/>
      <c r="Q28" s="297"/>
      <c r="R28" s="298"/>
      <c r="S28" s="298"/>
      <c r="T28" s="298"/>
      <c r="U28" s="298"/>
      <c r="V28" s="298"/>
      <c r="W28" s="298"/>
      <c r="X28" s="299"/>
      <c r="Y28" s="303"/>
      <c r="Z28" s="304"/>
      <c r="AA28" s="304"/>
      <c r="AB28" s="304"/>
      <c r="AC28" s="304"/>
      <c r="AD28" s="304"/>
      <c r="AE28" s="304"/>
      <c r="AF28" s="305"/>
      <c r="AH28" s="292">
        <v>24</v>
      </c>
      <c r="AI28" s="293"/>
      <c r="AJ28" s="292">
        <v>74</v>
      </c>
      <c r="AK28" s="293"/>
    </row>
    <row r="29" spans="1:53" ht="15" customHeight="1" x14ac:dyDescent="0.2">
      <c r="A29" s="249">
        <v>25</v>
      </c>
      <c r="B29" s="249"/>
      <c r="C29" s="249">
        <f t="shared" si="0"/>
        <v>300</v>
      </c>
      <c r="D29" s="249"/>
      <c r="E29" s="151"/>
      <c r="F29" s="315" t="s">
        <v>23</v>
      </c>
      <c r="G29" s="316"/>
      <c r="H29" s="316"/>
      <c r="I29" s="316"/>
      <c r="J29" s="316"/>
      <c r="K29" s="316"/>
      <c r="L29" s="341"/>
      <c r="M29" s="345"/>
      <c r="N29" s="345"/>
      <c r="O29" s="342"/>
      <c r="Q29" s="294"/>
      <c r="R29" s="295"/>
      <c r="S29" s="295"/>
      <c r="T29" s="295"/>
      <c r="U29" s="295"/>
      <c r="V29" s="295"/>
      <c r="W29" s="295"/>
      <c r="X29" s="296"/>
      <c r="Y29" s="300"/>
      <c r="Z29" s="301"/>
      <c r="AA29" s="301"/>
      <c r="AB29" s="301"/>
      <c r="AC29" s="301"/>
      <c r="AD29" s="301"/>
      <c r="AE29" s="301"/>
      <c r="AF29" s="302"/>
      <c r="AH29" s="292">
        <v>25</v>
      </c>
      <c r="AI29" s="293"/>
      <c r="AJ29" s="292">
        <v>75</v>
      </c>
      <c r="AK29" s="293"/>
    </row>
    <row r="30" spans="1:53" ht="15" customHeight="1" x14ac:dyDescent="0.2">
      <c r="A30" s="249">
        <v>26</v>
      </c>
      <c r="B30" s="249"/>
      <c r="C30" s="249">
        <f t="shared" si="0"/>
        <v>310</v>
      </c>
      <c r="D30" s="249"/>
      <c r="E30" s="151"/>
      <c r="F30" s="315"/>
      <c r="G30" s="316"/>
      <c r="H30" s="316"/>
      <c r="I30" s="316"/>
      <c r="J30" s="316"/>
      <c r="K30" s="316"/>
      <c r="L30" s="343"/>
      <c r="M30" s="346"/>
      <c r="N30" s="346"/>
      <c r="O30" s="344"/>
      <c r="Q30" s="297"/>
      <c r="R30" s="298"/>
      <c r="S30" s="298"/>
      <c r="T30" s="298"/>
      <c r="U30" s="298"/>
      <c r="V30" s="298"/>
      <c r="W30" s="298"/>
      <c r="X30" s="299"/>
      <c r="Y30" s="303"/>
      <c r="Z30" s="304"/>
      <c r="AA30" s="304"/>
      <c r="AB30" s="304"/>
      <c r="AC30" s="304"/>
      <c r="AD30" s="304"/>
      <c r="AE30" s="304"/>
      <c r="AF30" s="305"/>
      <c r="AH30" s="292">
        <v>26</v>
      </c>
      <c r="AI30" s="293"/>
      <c r="AJ30" s="292">
        <v>76</v>
      </c>
      <c r="AK30" s="293"/>
    </row>
    <row r="31" spans="1:53" ht="15" customHeight="1" x14ac:dyDescent="0.2">
      <c r="A31" s="249">
        <v>27</v>
      </c>
      <c r="B31" s="249"/>
      <c r="C31" s="249">
        <f t="shared" si="0"/>
        <v>320</v>
      </c>
      <c r="D31" s="249"/>
      <c r="E31" s="151"/>
      <c r="AF31" s="1"/>
      <c r="AH31" s="292">
        <v>27</v>
      </c>
      <c r="AI31" s="293"/>
      <c r="AJ31" s="292">
        <v>77</v>
      </c>
      <c r="AK31" s="293"/>
    </row>
    <row r="32" spans="1:53" ht="15" customHeight="1" x14ac:dyDescent="0.2">
      <c r="A32" s="249">
        <v>28</v>
      </c>
      <c r="B32" s="249"/>
      <c r="C32" s="249">
        <f t="shared" si="0"/>
        <v>330</v>
      </c>
      <c r="D32" s="249"/>
      <c r="E32" s="151"/>
      <c r="F32" s="312" t="s">
        <v>24</v>
      </c>
      <c r="G32" s="312"/>
      <c r="H32" s="312"/>
      <c r="I32" s="312"/>
      <c r="J32" s="312"/>
      <c r="K32" s="312"/>
      <c r="L32" s="314" t="s">
        <v>25</v>
      </c>
      <c r="M32" s="314"/>
      <c r="N32" s="314"/>
      <c r="O32" s="314" t="s">
        <v>26</v>
      </c>
      <c r="P32" s="314"/>
      <c r="Q32" s="314"/>
      <c r="R32" s="314" t="s">
        <v>27</v>
      </c>
      <c r="S32" s="314"/>
      <c r="T32" s="314"/>
      <c r="U32" s="314" t="s">
        <v>323</v>
      </c>
      <c r="V32" s="314"/>
      <c r="W32" s="314"/>
      <c r="X32" s="314" t="s">
        <v>321</v>
      </c>
      <c r="Y32" s="314"/>
      <c r="Z32" s="314"/>
      <c r="AA32" s="313" t="s">
        <v>322</v>
      </c>
      <c r="AB32" s="313"/>
      <c r="AC32" s="313"/>
      <c r="AD32" s="313"/>
      <c r="AE32" s="313"/>
      <c r="AF32" s="313"/>
      <c r="AH32" s="292">
        <v>28</v>
      </c>
      <c r="AI32" s="293"/>
      <c r="AJ32" s="292">
        <v>78</v>
      </c>
      <c r="AK32" s="293"/>
    </row>
    <row r="33" spans="1:37" ht="15" customHeight="1" x14ac:dyDescent="0.2">
      <c r="A33" s="249">
        <v>29</v>
      </c>
      <c r="B33" s="249"/>
      <c r="C33" s="249">
        <f t="shared" si="0"/>
        <v>340</v>
      </c>
      <c r="D33" s="249"/>
      <c r="E33" s="151"/>
      <c r="F33" s="306"/>
      <c r="G33" s="307"/>
      <c r="H33" s="307"/>
      <c r="I33" s="307"/>
      <c r="J33" s="307"/>
      <c r="K33" s="308"/>
      <c r="L33" s="306"/>
      <c r="M33" s="307"/>
      <c r="N33" s="308"/>
      <c r="O33" s="306"/>
      <c r="P33" s="307"/>
      <c r="Q33" s="308"/>
      <c r="R33" s="306"/>
      <c r="S33" s="307"/>
      <c r="T33" s="308"/>
      <c r="U33" s="306"/>
      <c r="V33" s="307"/>
      <c r="W33" s="308"/>
      <c r="X33" s="306"/>
      <c r="Y33" s="307"/>
      <c r="Z33" s="308"/>
      <c r="AA33" s="317"/>
      <c r="AB33" s="318"/>
      <c r="AC33" s="318"/>
      <c r="AD33" s="318"/>
      <c r="AE33" s="318"/>
      <c r="AF33" s="319"/>
      <c r="AH33" s="292">
        <v>29</v>
      </c>
      <c r="AI33" s="293"/>
      <c r="AJ33" s="292">
        <v>79</v>
      </c>
      <c r="AK33" s="293"/>
    </row>
    <row r="34" spans="1:37" ht="15" customHeight="1" x14ac:dyDescent="0.2">
      <c r="A34" s="249">
        <v>30</v>
      </c>
      <c r="B34" s="249"/>
      <c r="C34" s="249">
        <f t="shared" si="0"/>
        <v>350</v>
      </c>
      <c r="D34" s="249"/>
      <c r="E34" s="151"/>
      <c r="F34" s="309"/>
      <c r="G34" s="310"/>
      <c r="H34" s="310"/>
      <c r="I34" s="310"/>
      <c r="J34" s="310"/>
      <c r="K34" s="311"/>
      <c r="L34" s="309"/>
      <c r="M34" s="310"/>
      <c r="N34" s="311"/>
      <c r="O34" s="309"/>
      <c r="P34" s="310"/>
      <c r="Q34" s="311"/>
      <c r="R34" s="309"/>
      <c r="S34" s="310"/>
      <c r="T34" s="311"/>
      <c r="U34" s="309"/>
      <c r="V34" s="310"/>
      <c r="W34" s="311"/>
      <c r="X34" s="309"/>
      <c r="Y34" s="310"/>
      <c r="Z34" s="311"/>
      <c r="AA34" s="320"/>
      <c r="AB34" s="321"/>
      <c r="AC34" s="321"/>
      <c r="AD34" s="321"/>
      <c r="AE34" s="321"/>
      <c r="AF34" s="322"/>
      <c r="AH34" s="292">
        <v>30</v>
      </c>
      <c r="AI34" s="293"/>
      <c r="AJ34" s="292">
        <v>80</v>
      </c>
      <c r="AK34" s="293"/>
    </row>
    <row r="35" spans="1:37" ht="15" customHeight="1" x14ac:dyDescent="0.2">
      <c r="A35" s="249">
        <v>31</v>
      </c>
      <c r="B35" s="249"/>
      <c r="C35" s="249">
        <f t="shared" si="0"/>
        <v>360</v>
      </c>
      <c r="D35" s="249"/>
      <c r="E35" s="151"/>
      <c r="F35" s="306"/>
      <c r="G35" s="307"/>
      <c r="H35" s="307"/>
      <c r="I35" s="307"/>
      <c r="J35" s="307"/>
      <c r="K35" s="308"/>
      <c r="L35" s="306"/>
      <c r="M35" s="307"/>
      <c r="N35" s="308"/>
      <c r="O35" s="306"/>
      <c r="P35" s="307"/>
      <c r="Q35" s="308"/>
      <c r="R35" s="306"/>
      <c r="S35" s="307"/>
      <c r="T35" s="308"/>
      <c r="U35" s="306"/>
      <c r="V35" s="307"/>
      <c r="W35" s="308"/>
      <c r="X35" s="306"/>
      <c r="Y35" s="307"/>
      <c r="Z35" s="308"/>
      <c r="AA35" s="317"/>
      <c r="AB35" s="318"/>
      <c r="AC35" s="318"/>
      <c r="AD35" s="318"/>
      <c r="AE35" s="318"/>
      <c r="AF35" s="319"/>
      <c r="AH35" s="292">
        <v>31</v>
      </c>
      <c r="AI35" s="293"/>
      <c r="AJ35" s="292">
        <v>81</v>
      </c>
      <c r="AK35" s="293"/>
    </row>
    <row r="36" spans="1:37" ht="15" customHeight="1" x14ac:dyDescent="0.2">
      <c r="A36" s="249">
        <v>32</v>
      </c>
      <c r="B36" s="249"/>
      <c r="C36" s="249">
        <f t="shared" si="0"/>
        <v>370</v>
      </c>
      <c r="D36" s="249"/>
      <c r="E36" s="151"/>
      <c r="F36" s="309"/>
      <c r="G36" s="310"/>
      <c r="H36" s="310"/>
      <c r="I36" s="310"/>
      <c r="J36" s="310"/>
      <c r="K36" s="311"/>
      <c r="L36" s="309"/>
      <c r="M36" s="310"/>
      <c r="N36" s="311"/>
      <c r="O36" s="309"/>
      <c r="P36" s="310"/>
      <c r="Q36" s="311"/>
      <c r="R36" s="309"/>
      <c r="S36" s="310"/>
      <c r="T36" s="311"/>
      <c r="U36" s="309"/>
      <c r="V36" s="310"/>
      <c r="W36" s="311"/>
      <c r="X36" s="309"/>
      <c r="Y36" s="310"/>
      <c r="Z36" s="311"/>
      <c r="AA36" s="320"/>
      <c r="AB36" s="321"/>
      <c r="AC36" s="321"/>
      <c r="AD36" s="321"/>
      <c r="AE36" s="321"/>
      <c r="AF36" s="322"/>
      <c r="AH36" s="292">
        <v>32</v>
      </c>
      <c r="AI36" s="293"/>
      <c r="AJ36" s="292">
        <v>82</v>
      </c>
      <c r="AK36" s="293"/>
    </row>
    <row r="37" spans="1:37" ht="15" customHeight="1" x14ac:dyDescent="0.2">
      <c r="A37" s="249">
        <v>33</v>
      </c>
      <c r="B37" s="249"/>
      <c r="C37" s="249">
        <f t="shared" si="0"/>
        <v>380</v>
      </c>
      <c r="D37" s="249"/>
      <c r="E37" s="151"/>
      <c r="F37" s="4" t="s">
        <v>326</v>
      </c>
      <c r="AH37" s="292">
        <v>33</v>
      </c>
      <c r="AI37" s="293"/>
      <c r="AJ37" s="292">
        <v>83</v>
      </c>
      <c r="AK37" s="293"/>
    </row>
    <row r="38" spans="1:37" ht="15" customHeight="1" x14ac:dyDescent="0.2">
      <c r="A38" s="249">
        <v>34</v>
      </c>
      <c r="B38" s="249"/>
      <c r="C38" s="249">
        <f t="shared" si="0"/>
        <v>390</v>
      </c>
      <c r="D38" s="249"/>
      <c r="E38" s="151"/>
      <c r="AH38" s="292">
        <v>34</v>
      </c>
      <c r="AI38" s="293"/>
      <c r="AJ38" s="292">
        <v>84</v>
      </c>
      <c r="AK38" s="293"/>
    </row>
    <row r="39" spans="1:37" ht="15" customHeight="1" x14ac:dyDescent="0.2">
      <c r="A39" s="249">
        <v>35</v>
      </c>
      <c r="B39" s="249"/>
      <c r="C39" s="249">
        <f t="shared" si="0"/>
        <v>400</v>
      </c>
      <c r="D39" s="249"/>
      <c r="E39" s="151"/>
      <c r="F39" s="323" t="s">
        <v>324</v>
      </c>
      <c r="G39" s="324"/>
      <c r="H39" s="324"/>
      <c r="I39" s="324"/>
      <c r="J39" s="324"/>
      <c r="K39" s="324"/>
      <c r="L39" s="314" t="s">
        <v>325</v>
      </c>
      <c r="M39" s="314"/>
      <c r="N39" s="314"/>
      <c r="O39" s="314" t="s">
        <v>321</v>
      </c>
      <c r="P39" s="314"/>
      <c r="Q39" s="314"/>
      <c r="R39" s="325" t="s">
        <v>322</v>
      </c>
      <c r="S39" s="326"/>
      <c r="T39" s="326"/>
      <c r="U39" s="326"/>
      <c r="V39" s="326"/>
      <c r="W39" s="327"/>
      <c r="X39" s="21"/>
      <c r="Y39" s="289" t="s">
        <v>327</v>
      </c>
      <c r="Z39" s="289"/>
      <c r="AA39" s="289"/>
      <c r="AB39" s="289"/>
      <c r="AC39" s="289"/>
      <c r="AD39" s="286"/>
      <c r="AE39" s="286"/>
      <c r="AF39" s="286"/>
      <c r="AH39" s="292">
        <v>35</v>
      </c>
      <c r="AI39" s="293"/>
      <c r="AJ39" s="292">
        <v>85</v>
      </c>
      <c r="AK39" s="293"/>
    </row>
    <row r="40" spans="1:37" ht="15" customHeight="1" x14ac:dyDescent="0.2">
      <c r="A40" s="249">
        <v>36</v>
      </c>
      <c r="B40" s="249"/>
      <c r="C40" s="249">
        <f t="shared" si="0"/>
        <v>410</v>
      </c>
      <c r="D40" s="249"/>
      <c r="E40" s="151"/>
      <c r="F40" s="306"/>
      <c r="G40" s="307"/>
      <c r="H40" s="307"/>
      <c r="I40" s="307"/>
      <c r="J40" s="307"/>
      <c r="K40" s="308"/>
      <c r="L40" s="306"/>
      <c r="M40" s="307"/>
      <c r="N40" s="308"/>
      <c r="O40" s="306"/>
      <c r="P40" s="307"/>
      <c r="Q40" s="308"/>
      <c r="R40" s="317"/>
      <c r="S40" s="318"/>
      <c r="T40" s="318"/>
      <c r="U40" s="318"/>
      <c r="V40" s="318"/>
      <c r="W40" s="319"/>
      <c r="X40" s="159"/>
      <c r="Y40" s="290"/>
      <c r="Z40" s="290"/>
      <c r="AA40" s="290"/>
      <c r="AB40" s="290"/>
      <c r="AC40" s="290"/>
      <c r="AD40" s="287"/>
      <c r="AE40" s="287"/>
      <c r="AF40" s="287"/>
      <c r="AH40" s="292">
        <v>36</v>
      </c>
      <c r="AI40" s="293"/>
      <c r="AJ40" s="292">
        <v>86</v>
      </c>
      <c r="AK40" s="293"/>
    </row>
    <row r="41" spans="1:37" ht="15" customHeight="1" x14ac:dyDescent="0.2">
      <c r="A41" s="249">
        <v>37</v>
      </c>
      <c r="B41" s="249"/>
      <c r="C41" s="249">
        <f t="shared" si="0"/>
        <v>420</v>
      </c>
      <c r="D41" s="249"/>
      <c r="E41" s="151"/>
      <c r="F41" s="309"/>
      <c r="G41" s="310"/>
      <c r="H41" s="310"/>
      <c r="I41" s="310"/>
      <c r="J41" s="310"/>
      <c r="K41" s="311"/>
      <c r="L41" s="309"/>
      <c r="M41" s="310"/>
      <c r="N41" s="311"/>
      <c r="O41" s="309"/>
      <c r="P41" s="310"/>
      <c r="Q41" s="311"/>
      <c r="R41" s="320"/>
      <c r="S41" s="321"/>
      <c r="T41" s="321"/>
      <c r="U41" s="321"/>
      <c r="V41" s="321"/>
      <c r="W41" s="322"/>
      <c r="X41" s="159"/>
      <c r="Y41" s="291"/>
      <c r="Z41" s="291"/>
      <c r="AA41" s="291"/>
      <c r="AB41" s="291"/>
      <c r="AC41" s="291"/>
      <c r="AD41" s="288"/>
      <c r="AE41" s="288"/>
      <c r="AF41" s="288"/>
      <c r="AH41" s="292">
        <v>37</v>
      </c>
      <c r="AI41" s="293"/>
      <c r="AJ41" s="292">
        <v>87</v>
      </c>
      <c r="AK41" s="293"/>
    </row>
    <row r="42" spans="1:37" ht="15" customHeight="1" x14ac:dyDescent="0.2">
      <c r="A42" s="249">
        <v>38</v>
      </c>
      <c r="B42" s="249"/>
      <c r="C42" s="249">
        <f t="shared" si="0"/>
        <v>430</v>
      </c>
      <c r="D42" s="249"/>
      <c r="E42" s="151"/>
      <c r="AH42" s="292">
        <v>38</v>
      </c>
      <c r="AI42" s="293"/>
      <c r="AJ42" s="292">
        <v>88</v>
      </c>
      <c r="AK42" s="293"/>
    </row>
    <row r="43" spans="1:37" ht="15" customHeight="1" x14ac:dyDescent="0.2">
      <c r="A43" s="249">
        <v>39</v>
      </c>
      <c r="B43" s="249"/>
      <c r="C43" s="249">
        <f t="shared" si="0"/>
        <v>440</v>
      </c>
      <c r="D43" s="249"/>
      <c r="E43" s="151"/>
      <c r="F43" s="255" t="s">
        <v>28</v>
      </c>
      <c r="G43" s="255"/>
      <c r="H43" s="255"/>
      <c r="I43" s="255"/>
      <c r="J43" s="255"/>
      <c r="K43" s="255"/>
      <c r="L43" s="255"/>
      <c r="M43" s="255"/>
      <c r="N43" s="255"/>
      <c r="O43" s="255" t="s">
        <v>328</v>
      </c>
      <c r="P43" s="255"/>
      <c r="Q43" s="255"/>
      <c r="R43" s="255"/>
      <c r="S43" s="255"/>
      <c r="T43" s="255"/>
      <c r="U43" s="255" t="s">
        <v>329</v>
      </c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H43" s="292">
        <v>39</v>
      </c>
      <c r="AI43" s="293"/>
      <c r="AJ43" s="292">
        <v>89</v>
      </c>
      <c r="AK43" s="293"/>
    </row>
    <row r="44" spans="1:37" ht="15" customHeight="1" x14ac:dyDescent="0.2">
      <c r="A44" s="249">
        <v>40</v>
      </c>
      <c r="B44" s="249"/>
      <c r="C44" s="249">
        <f t="shared" si="0"/>
        <v>450</v>
      </c>
      <c r="D44" s="249"/>
      <c r="E44" s="151"/>
      <c r="F44" s="257"/>
      <c r="G44" s="258"/>
      <c r="H44" s="258"/>
      <c r="I44" s="258"/>
      <c r="J44" s="258"/>
      <c r="K44" s="258"/>
      <c r="L44" s="258"/>
      <c r="M44" s="258"/>
      <c r="N44" s="259"/>
      <c r="O44" s="257"/>
      <c r="P44" s="258"/>
      <c r="Q44" s="258"/>
      <c r="R44" s="258"/>
      <c r="S44" s="258"/>
      <c r="T44" s="259"/>
      <c r="U44" s="257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9"/>
      <c r="AH44" s="292">
        <v>40</v>
      </c>
      <c r="AI44" s="293"/>
      <c r="AJ44" s="292">
        <v>90</v>
      </c>
      <c r="AK44" s="293"/>
    </row>
    <row r="45" spans="1:37" ht="15" customHeight="1" x14ac:dyDescent="0.2">
      <c r="A45" s="249">
        <v>41</v>
      </c>
      <c r="B45" s="249"/>
      <c r="C45" s="249">
        <f t="shared" si="0"/>
        <v>460</v>
      </c>
      <c r="D45" s="249"/>
      <c r="E45" s="151"/>
      <c r="F45" s="260"/>
      <c r="G45" s="261"/>
      <c r="H45" s="261"/>
      <c r="I45" s="261"/>
      <c r="J45" s="261"/>
      <c r="K45" s="261"/>
      <c r="L45" s="261"/>
      <c r="M45" s="261"/>
      <c r="N45" s="262"/>
      <c r="O45" s="260"/>
      <c r="P45" s="261"/>
      <c r="Q45" s="261"/>
      <c r="R45" s="261"/>
      <c r="S45" s="261"/>
      <c r="T45" s="262"/>
      <c r="U45" s="260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2"/>
      <c r="AH45" s="292">
        <v>41</v>
      </c>
      <c r="AI45" s="293"/>
      <c r="AJ45" s="292">
        <v>91</v>
      </c>
      <c r="AK45" s="293"/>
    </row>
    <row r="46" spans="1:37" ht="15" customHeight="1" x14ac:dyDescent="0.2">
      <c r="A46" s="249">
        <v>42</v>
      </c>
      <c r="B46" s="249"/>
      <c r="C46" s="249">
        <f t="shared" si="0"/>
        <v>470</v>
      </c>
      <c r="D46" s="249"/>
      <c r="E46" s="151"/>
      <c r="F46" s="257"/>
      <c r="G46" s="258"/>
      <c r="H46" s="258"/>
      <c r="I46" s="258"/>
      <c r="J46" s="258"/>
      <c r="K46" s="258"/>
      <c r="L46" s="258"/>
      <c r="M46" s="258"/>
      <c r="N46" s="259"/>
      <c r="O46" s="257"/>
      <c r="P46" s="258"/>
      <c r="Q46" s="258"/>
      <c r="R46" s="258"/>
      <c r="S46" s="258"/>
      <c r="T46" s="259"/>
      <c r="U46" s="257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9"/>
      <c r="AH46" s="292">
        <v>42</v>
      </c>
      <c r="AI46" s="293"/>
      <c r="AJ46" s="292">
        <v>92</v>
      </c>
      <c r="AK46" s="293"/>
    </row>
    <row r="47" spans="1:37" ht="15" customHeight="1" x14ac:dyDescent="0.2">
      <c r="A47" s="249">
        <v>43</v>
      </c>
      <c r="B47" s="249"/>
      <c r="C47" s="249">
        <f t="shared" si="0"/>
        <v>480</v>
      </c>
      <c r="D47" s="249"/>
      <c r="E47" s="151"/>
      <c r="F47" s="260"/>
      <c r="G47" s="261"/>
      <c r="H47" s="261"/>
      <c r="I47" s="261"/>
      <c r="J47" s="261"/>
      <c r="K47" s="261"/>
      <c r="L47" s="261"/>
      <c r="M47" s="261"/>
      <c r="N47" s="262"/>
      <c r="O47" s="260"/>
      <c r="P47" s="261"/>
      <c r="Q47" s="261"/>
      <c r="R47" s="261"/>
      <c r="S47" s="261"/>
      <c r="T47" s="262"/>
      <c r="U47" s="260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2"/>
      <c r="AH47" s="292">
        <v>43</v>
      </c>
      <c r="AI47" s="293"/>
      <c r="AJ47" s="292">
        <v>93</v>
      </c>
      <c r="AK47" s="293"/>
    </row>
    <row r="48" spans="1:37" ht="15" customHeight="1" x14ac:dyDescent="0.2">
      <c r="A48" s="249">
        <v>44</v>
      </c>
      <c r="B48" s="249"/>
      <c r="C48" s="250">
        <f t="shared" si="0"/>
        <v>490</v>
      </c>
      <c r="D48" s="250"/>
      <c r="E48" s="151"/>
      <c r="F48" s="257"/>
      <c r="G48" s="258"/>
      <c r="H48" s="258"/>
      <c r="I48" s="258"/>
      <c r="J48" s="258"/>
      <c r="K48" s="258"/>
      <c r="L48" s="258"/>
      <c r="M48" s="258"/>
      <c r="N48" s="259"/>
      <c r="O48" s="257"/>
      <c r="P48" s="258"/>
      <c r="Q48" s="258"/>
      <c r="R48" s="258"/>
      <c r="S48" s="258"/>
      <c r="T48" s="259"/>
      <c r="U48" s="257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9"/>
      <c r="AH48" s="292">
        <v>44</v>
      </c>
      <c r="AI48" s="293"/>
      <c r="AJ48" s="292">
        <v>94</v>
      </c>
      <c r="AK48" s="293"/>
    </row>
    <row r="49" spans="1:37" ht="15" customHeight="1" x14ac:dyDescent="0.2">
      <c r="A49" s="249">
        <v>45</v>
      </c>
      <c r="B49" s="249"/>
      <c r="C49" s="250">
        <f t="shared" si="0"/>
        <v>500</v>
      </c>
      <c r="D49" s="250"/>
      <c r="E49" s="151"/>
      <c r="F49" s="260"/>
      <c r="G49" s="261"/>
      <c r="H49" s="261"/>
      <c r="I49" s="261"/>
      <c r="J49" s="261"/>
      <c r="K49" s="261"/>
      <c r="L49" s="261"/>
      <c r="M49" s="261"/>
      <c r="N49" s="262"/>
      <c r="O49" s="260"/>
      <c r="P49" s="261"/>
      <c r="Q49" s="261"/>
      <c r="R49" s="261"/>
      <c r="S49" s="261"/>
      <c r="T49" s="262"/>
      <c r="U49" s="260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2"/>
      <c r="AH49" s="292">
        <v>45</v>
      </c>
      <c r="AI49" s="293"/>
      <c r="AJ49" s="292">
        <v>95</v>
      </c>
      <c r="AK49" s="293"/>
    </row>
    <row r="50" spans="1:37" ht="15" customHeight="1" x14ac:dyDescent="0.2">
      <c r="A50" s="249">
        <v>46</v>
      </c>
      <c r="B50" s="249"/>
      <c r="C50" s="250">
        <f t="shared" si="0"/>
        <v>510</v>
      </c>
      <c r="D50" s="250"/>
      <c r="E50" s="151"/>
      <c r="F50" s="257"/>
      <c r="G50" s="258"/>
      <c r="H50" s="258"/>
      <c r="I50" s="258"/>
      <c r="J50" s="258"/>
      <c r="K50" s="258"/>
      <c r="L50" s="258"/>
      <c r="M50" s="258"/>
      <c r="N50" s="259"/>
      <c r="O50" s="257"/>
      <c r="P50" s="258"/>
      <c r="Q50" s="258"/>
      <c r="R50" s="258"/>
      <c r="S50" s="258"/>
      <c r="T50" s="259"/>
      <c r="U50" s="257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9"/>
      <c r="AH50" s="292">
        <v>46</v>
      </c>
      <c r="AI50" s="293"/>
      <c r="AJ50" s="292">
        <v>96</v>
      </c>
      <c r="AK50" s="293"/>
    </row>
    <row r="51" spans="1:37" ht="15" customHeight="1" x14ac:dyDescent="0.2">
      <c r="A51" s="249">
        <v>47</v>
      </c>
      <c r="B51" s="249"/>
      <c r="C51" s="250">
        <f t="shared" si="0"/>
        <v>520</v>
      </c>
      <c r="D51" s="250"/>
      <c r="E51" s="151"/>
      <c r="F51" s="260"/>
      <c r="G51" s="261"/>
      <c r="H51" s="261"/>
      <c r="I51" s="261"/>
      <c r="J51" s="261"/>
      <c r="K51" s="261"/>
      <c r="L51" s="261"/>
      <c r="M51" s="261"/>
      <c r="N51" s="262"/>
      <c r="O51" s="260"/>
      <c r="P51" s="261"/>
      <c r="Q51" s="261"/>
      <c r="R51" s="261"/>
      <c r="S51" s="261"/>
      <c r="T51" s="262"/>
      <c r="U51" s="260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2"/>
      <c r="AH51" s="292">
        <v>47</v>
      </c>
      <c r="AI51" s="293"/>
      <c r="AJ51" s="292">
        <v>97</v>
      </c>
      <c r="AK51" s="293"/>
    </row>
    <row r="52" spans="1:37" ht="15" customHeight="1" x14ac:dyDescent="0.2">
      <c r="A52" s="249">
        <v>48</v>
      </c>
      <c r="B52" s="249"/>
      <c r="C52" s="250">
        <f t="shared" si="0"/>
        <v>530</v>
      </c>
      <c r="D52" s="250"/>
      <c r="E52" s="151"/>
      <c r="F52" s="257"/>
      <c r="G52" s="258"/>
      <c r="H52" s="258"/>
      <c r="I52" s="258"/>
      <c r="J52" s="258"/>
      <c r="K52" s="258"/>
      <c r="L52" s="258"/>
      <c r="M52" s="258"/>
      <c r="N52" s="259"/>
      <c r="O52" s="257"/>
      <c r="P52" s="258"/>
      <c r="Q52" s="258"/>
      <c r="R52" s="258"/>
      <c r="S52" s="258"/>
      <c r="T52" s="259"/>
      <c r="U52" s="257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9"/>
      <c r="AH52" s="292">
        <v>48</v>
      </c>
      <c r="AI52" s="293"/>
      <c r="AJ52" s="292">
        <v>98</v>
      </c>
      <c r="AK52" s="293"/>
    </row>
    <row r="53" spans="1:37" ht="15" customHeight="1" x14ac:dyDescent="0.2">
      <c r="A53" s="249">
        <v>49</v>
      </c>
      <c r="B53" s="249"/>
      <c r="C53" s="250">
        <f t="shared" ref="C53:C54" si="1">C52+10</f>
        <v>540</v>
      </c>
      <c r="D53" s="250"/>
      <c r="E53" s="151"/>
      <c r="F53" s="260"/>
      <c r="G53" s="261"/>
      <c r="H53" s="261"/>
      <c r="I53" s="261"/>
      <c r="J53" s="261"/>
      <c r="K53" s="261"/>
      <c r="L53" s="261"/>
      <c r="M53" s="261"/>
      <c r="N53" s="262"/>
      <c r="O53" s="260"/>
      <c r="P53" s="261"/>
      <c r="Q53" s="261"/>
      <c r="R53" s="261"/>
      <c r="S53" s="261"/>
      <c r="T53" s="262"/>
      <c r="U53" s="260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2"/>
      <c r="AH53" s="292">
        <v>49</v>
      </c>
      <c r="AI53" s="293"/>
      <c r="AJ53" s="292">
        <v>99</v>
      </c>
      <c r="AK53" s="293"/>
    </row>
    <row r="54" spans="1:37" s="5" customFormat="1" ht="15" customHeight="1" x14ac:dyDescent="0.2">
      <c r="A54" s="249">
        <v>50</v>
      </c>
      <c r="B54" s="249"/>
      <c r="C54" s="250">
        <f t="shared" si="1"/>
        <v>550</v>
      </c>
      <c r="D54" s="250"/>
      <c r="E54" s="151"/>
      <c r="F54" s="257"/>
      <c r="G54" s="258"/>
      <c r="H54" s="258"/>
      <c r="I54" s="258"/>
      <c r="J54" s="258"/>
      <c r="K54" s="258"/>
      <c r="L54" s="258"/>
      <c r="M54" s="258"/>
      <c r="N54" s="259"/>
      <c r="O54" s="257"/>
      <c r="P54" s="258"/>
      <c r="Q54" s="258"/>
      <c r="R54" s="258"/>
      <c r="S54" s="258"/>
      <c r="T54" s="259"/>
      <c r="U54" s="257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9"/>
      <c r="AH54" s="292">
        <v>50</v>
      </c>
      <c r="AI54" s="293"/>
      <c r="AJ54" s="292">
        <v>100</v>
      </c>
      <c r="AK54" s="293"/>
    </row>
    <row r="55" spans="1:37" s="5" customFormat="1" ht="15" customHeight="1" x14ac:dyDescent="0.2">
      <c r="A55" s="263"/>
      <c r="B55" s="263"/>
      <c r="C55" s="263"/>
      <c r="D55" s="263"/>
      <c r="E55" s="9"/>
      <c r="F55" s="260"/>
      <c r="G55" s="261"/>
      <c r="H55" s="261"/>
      <c r="I55" s="261"/>
      <c r="J55" s="261"/>
      <c r="K55" s="261"/>
      <c r="L55" s="261"/>
      <c r="M55" s="261"/>
      <c r="N55" s="262"/>
      <c r="O55" s="260"/>
      <c r="P55" s="261"/>
      <c r="Q55" s="261"/>
      <c r="R55" s="261"/>
      <c r="S55" s="261"/>
      <c r="T55" s="262"/>
      <c r="U55" s="260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2"/>
      <c r="AH55" s="263"/>
      <c r="AI55" s="263"/>
      <c r="AJ55" s="11"/>
      <c r="AK55" s="11"/>
    </row>
    <row r="56" spans="1:37" s="5" customFormat="1" ht="15" customHeight="1" x14ac:dyDescent="0.2">
      <c r="A56" s="9"/>
      <c r="B56" s="9"/>
      <c r="C56" s="9"/>
      <c r="D56" s="9"/>
      <c r="E56" s="9"/>
      <c r="F56" s="43"/>
      <c r="G56" s="44"/>
      <c r="I56" s="45"/>
      <c r="J56" s="1"/>
      <c r="K56" s="1"/>
      <c r="L56" s="45"/>
      <c r="M56" s="45"/>
      <c r="U56" s="8"/>
      <c r="V56" s="8"/>
      <c r="W56" s="8"/>
      <c r="X56" s="8"/>
      <c r="AF56" s="1"/>
      <c r="AH56" s="149"/>
      <c r="AI56" s="149"/>
      <c r="AJ56" s="11"/>
      <c r="AK56" s="11"/>
    </row>
    <row r="57" spans="1:37" s="5" customFormat="1" ht="15" customHeight="1" x14ac:dyDescent="0.2">
      <c r="A57" s="264" t="s">
        <v>338</v>
      </c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6"/>
      <c r="V57" s="8"/>
      <c r="W57" s="8"/>
      <c r="X57" s="8"/>
      <c r="Y57" s="8"/>
    </row>
    <row r="58" spans="1:37" ht="15" customHeight="1" x14ac:dyDescent="0.2">
      <c r="A58" s="267"/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9"/>
      <c r="N58" s="45"/>
      <c r="V58" s="8"/>
      <c r="W58" s="8"/>
      <c r="X58" s="8"/>
      <c r="Y58" s="8"/>
    </row>
    <row r="59" spans="1:37" ht="15" customHeight="1" x14ac:dyDescent="0.2">
      <c r="A59" s="264" t="s">
        <v>330</v>
      </c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6"/>
      <c r="N59" s="270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2"/>
      <c r="AA59" s="276" t="s">
        <v>335</v>
      </c>
      <c r="AB59" s="276"/>
      <c r="AC59" s="276"/>
      <c r="AD59" s="276"/>
      <c r="AE59" s="276"/>
      <c r="AF59" s="255"/>
      <c r="AG59" s="255"/>
      <c r="AH59" s="255"/>
      <c r="AI59" s="255"/>
      <c r="AJ59" s="255"/>
      <c r="AK59" s="255"/>
    </row>
    <row r="60" spans="1:37" ht="15" customHeight="1" x14ac:dyDescent="0.2">
      <c r="A60" s="267"/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9"/>
      <c r="N60" s="273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5"/>
      <c r="AA60" s="276"/>
      <c r="AB60" s="276"/>
      <c r="AC60" s="276"/>
      <c r="AD60" s="276"/>
      <c r="AE60" s="276"/>
      <c r="AF60" s="255"/>
      <c r="AG60" s="255"/>
      <c r="AH60" s="255"/>
      <c r="AI60" s="255"/>
      <c r="AJ60" s="255"/>
      <c r="AK60" s="255"/>
    </row>
    <row r="61" spans="1:37" ht="15" customHeight="1" x14ac:dyDescent="0.2">
      <c r="A61" s="277"/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9"/>
      <c r="AA61" s="276" t="s">
        <v>331</v>
      </c>
      <c r="AB61" s="276"/>
      <c r="AC61" s="276"/>
      <c r="AD61" s="276"/>
      <c r="AE61" s="276"/>
      <c r="AF61" s="255"/>
      <c r="AG61" s="255"/>
      <c r="AH61" s="255"/>
      <c r="AI61" s="255"/>
      <c r="AJ61" s="255"/>
      <c r="AK61" s="255"/>
    </row>
    <row r="62" spans="1:37" ht="15" customHeight="1" x14ac:dyDescent="0.2">
      <c r="A62" s="280"/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1"/>
      <c r="W62" s="281"/>
      <c r="X62" s="281"/>
      <c r="Y62" s="281"/>
      <c r="Z62" s="282"/>
      <c r="AA62" s="276"/>
      <c r="AB62" s="276"/>
      <c r="AC62" s="276"/>
      <c r="AD62" s="276"/>
      <c r="AE62" s="276"/>
      <c r="AF62" s="255"/>
      <c r="AG62" s="255"/>
      <c r="AH62" s="255"/>
      <c r="AI62" s="255"/>
      <c r="AJ62" s="255"/>
      <c r="AK62" s="255"/>
    </row>
    <row r="63" spans="1:37" ht="15" customHeight="1" x14ac:dyDescent="0.2">
      <c r="A63" s="280"/>
      <c r="B63" s="281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2"/>
      <c r="AA63" s="276" t="s">
        <v>334</v>
      </c>
      <c r="AB63" s="276"/>
      <c r="AC63" s="276"/>
      <c r="AD63" s="276"/>
      <c r="AE63" s="276"/>
      <c r="AF63" s="255"/>
      <c r="AG63" s="255"/>
      <c r="AH63" s="255"/>
      <c r="AI63" s="255"/>
      <c r="AJ63" s="255"/>
      <c r="AK63" s="255"/>
    </row>
    <row r="64" spans="1:37" ht="15" customHeight="1" x14ac:dyDescent="0.2">
      <c r="A64" s="280"/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2"/>
      <c r="AA64" s="276"/>
      <c r="AB64" s="276"/>
      <c r="AC64" s="276"/>
      <c r="AD64" s="276"/>
      <c r="AE64" s="276"/>
      <c r="AF64" s="255"/>
      <c r="AG64" s="255"/>
      <c r="AH64" s="255"/>
      <c r="AI64" s="255"/>
      <c r="AJ64" s="255"/>
      <c r="AK64" s="255"/>
    </row>
    <row r="65" spans="1:37" ht="15" customHeight="1" x14ac:dyDescent="0.2">
      <c r="A65" s="280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2"/>
      <c r="AA65" s="276" t="s">
        <v>333</v>
      </c>
      <c r="AB65" s="276"/>
      <c r="AC65" s="276"/>
      <c r="AD65" s="276"/>
      <c r="AE65" s="276"/>
      <c r="AF65" s="255"/>
      <c r="AG65" s="255"/>
      <c r="AH65" s="255"/>
      <c r="AI65" s="255"/>
      <c r="AJ65" s="255"/>
      <c r="AK65" s="255"/>
    </row>
    <row r="66" spans="1:37" ht="15" customHeight="1" x14ac:dyDescent="0.2">
      <c r="A66" s="280"/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1"/>
      <c r="Z66" s="282"/>
      <c r="AA66" s="276"/>
      <c r="AB66" s="276"/>
      <c r="AC66" s="276"/>
      <c r="AD66" s="276"/>
      <c r="AE66" s="276"/>
      <c r="AF66" s="255"/>
      <c r="AG66" s="255"/>
      <c r="AH66" s="255"/>
      <c r="AI66" s="255"/>
      <c r="AJ66" s="255"/>
      <c r="AK66" s="255"/>
    </row>
    <row r="67" spans="1:37" ht="15" customHeight="1" x14ac:dyDescent="0.2">
      <c r="A67" s="280"/>
      <c r="B67" s="281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2"/>
      <c r="AA67" s="276" t="s">
        <v>332</v>
      </c>
      <c r="AB67" s="276"/>
      <c r="AC67" s="276"/>
      <c r="AD67" s="276"/>
      <c r="AE67" s="276"/>
      <c r="AF67" s="255"/>
      <c r="AG67" s="255"/>
      <c r="AH67" s="255"/>
      <c r="AI67" s="255"/>
      <c r="AJ67" s="255"/>
      <c r="AK67" s="255"/>
    </row>
    <row r="68" spans="1:37" ht="15" customHeight="1" x14ac:dyDescent="0.2">
      <c r="A68" s="283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5"/>
      <c r="AA68" s="276"/>
      <c r="AB68" s="276"/>
      <c r="AC68" s="276"/>
      <c r="AD68" s="276"/>
      <c r="AE68" s="276"/>
      <c r="AF68" s="255"/>
      <c r="AG68" s="255"/>
      <c r="AH68" s="255"/>
      <c r="AI68" s="255"/>
      <c r="AJ68" s="255"/>
      <c r="AK68" s="255"/>
    </row>
    <row r="69" spans="1:37" ht="15" customHeight="1" x14ac:dyDescent="0.2">
      <c r="A69" s="10"/>
      <c r="B69" s="10"/>
      <c r="C69" s="10"/>
      <c r="E69" s="4"/>
      <c r="F69" s="5"/>
      <c r="X69" s="10"/>
      <c r="Y69" s="10"/>
      <c r="Z69" s="10"/>
      <c r="AA69" s="10"/>
      <c r="AB69" s="10"/>
      <c r="AC69" s="10"/>
      <c r="AD69" s="10"/>
      <c r="AE69" s="10"/>
      <c r="AF69" s="10"/>
      <c r="AG69" s="10"/>
    </row>
    <row r="70" spans="1:37" ht="15" customHeight="1" x14ac:dyDescent="0.2">
      <c r="A70" s="254" t="s">
        <v>339</v>
      </c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AA70" s="10"/>
      <c r="AB70" s="10"/>
      <c r="AC70" s="10"/>
      <c r="AD70" s="10"/>
      <c r="AE70" s="10"/>
      <c r="AF70" s="10"/>
      <c r="AG70" s="10"/>
    </row>
    <row r="71" spans="1:37" ht="15" customHeight="1" x14ac:dyDescent="0.2">
      <c r="A71" s="254"/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X71" s="10"/>
      <c r="Y71" s="10"/>
      <c r="Z71" s="10"/>
      <c r="AA71" s="10"/>
      <c r="AB71" s="10"/>
      <c r="AC71" s="10"/>
      <c r="AD71" s="10"/>
      <c r="AE71" s="10"/>
      <c r="AF71" s="10"/>
      <c r="AG71" s="10"/>
    </row>
    <row r="72" spans="1:37" ht="15" customHeight="1" x14ac:dyDescent="0.2">
      <c r="A72" s="254" t="s">
        <v>340</v>
      </c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</row>
    <row r="73" spans="1:37" ht="15" customHeight="1" x14ac:dyDescent="0.2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</row>
    <row r="74" spans="1:37" ht="15" customHeight="1" x14ac:dyDescent="0.2">
      <c r="A74" s="254" t="s">
        <v>341</v>
      </c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</row>
    <row r="75" spans="1:37" ht="15" customHeight="1" x14ac:dyDescent="0.2">
      <c r="A75" s="254"/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</row>
    <row r="76" spans="1:37" ht="15" customHeight="1" x14ac:dyDescent="0.2">
      <c r="A76" s="254" t="s">
        <v>344</v>
      </c>
      <c r="B76" s="254"/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</row>
    <row r="77" spans="1:37" ht="15" customHeight="1" x14ac:dyDescent="0.2">
      <c r="A77" s="254"/>
      <c r="B77" s="254"/>
      <c r="C77" s="254"/>
      <c r="D77" s="254"/>
      <c r="E77" s="254"/>
      <c r="F77" s="254"/>
      <c r="G77" s="254"/>
      <c r="H77" s="254"/>
      <c r="I77" s="254"/>
      <c r="J77" s="254"/>
      <c r="K77" s="254"/>
      <c r="L77" s="254"/>
      <c r="M77" s="254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</row>
    <row r="78" spans="1:37" ht="15" customHeight="1" x14ac:dyDescent="0.2">
      <c r="A78" s="10"/>
      <c r="B78" s="10"/>
      <c r="C78" s="10"/>
      <c r="E78" s="4"/>
      <c r="F78" s="5"/>
      <c r="Y78" s="10"/>
      <c r="Z78" s="10"/>
      <c r="AA78" s="10"/>
      <c r="AB78" s="10"/>
      <c r="AC78" s="10"/>
      <c r="AD78" s="10"/>
      <c r="AE78" s="10"/>
      <c r="AF78" s="10"/>
      <c r="AG78" s="10"/>
    </row>
    <row r="79" spans="1:37" ht="15" customHeight="1" x14ac:dyDescent="0.2">
      <c r="A79" s="254" t="s">
        <v>342</v>
      </c>
      <c r="B79" s="25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Y79" s="10"/>
      <c r="Z79" s="10"/>
      <c r="AA79" s="10"/>
      <c r="AB79" s="10"/>
      <c r="AC79" s="10"/>
      <c r="AD79" s="10"/>
      <c r="AE79" s="10"/>
      <c r="AF79" s="10"/>
      <c r="AG79" s="10"/>
    </row>
    <row r="80" spans="1:37" ht="15" customHeight="1" x14ac:dyDescent="0.2">
      <c r="A80" s="256"/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</row>
    <row r="81" spans="1:37" ht="15" customHeight="1" x14ac:dyDescent="0.2">
      <c r="A81" s="251"/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3"/>
    </row>
    <row r="82" spans="1:37" ht="15" customHeight="1" x14ac:dyDescent="0.2">
      <c r="A82" s="251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3"/>
    </row>
    <row r="83" spans="1:37" ht="15" customHeight="1" x14ac:dyDescent="0.2">
      <c r="A83" s="251"/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3"/>
    </row>
    <row r="84" spans="1:37" ht="15" customHeight="1" x14ac:dyDescent="0.2">
      <c r="A84" s="251"/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3"/>
    </row>
    <row r="85" spans="1:37" ht="15" customHeight="1" x14ac:dyDescent="0.2">
      <c r="A85" s="251"/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3"/>
    </row>
    <row r="86" spans="1:37" ht="15" customHeight="1" x14ac:dyDescent="0.2">
      <c r="A86" s="251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52"/>
      <c r="AG86" s="252"/>
      <c r="AH86" s="252"/>
      <c r="AI86" s="252"/>
      <c r="AJ86" s="252"/>
      <c r="AK86" s="253"/>
    </row>
    <row r="87" spans="1:37" ht="15" customHeight="1" x14ac:dyDescent="0.2">
      <c r="A87" s="251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53"/>
    </row>
    <row r="88" spans="1:37" ht="15" customHeight="1" x14ac:dyDescent="0.2">
      <c r="A88" s="251"/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52"/>
      <c r="AG88" s="252"/>
      <c r="AH88" s="252"/>
      <c r="AI88" s="252"/>
      <c r="AJ88" s="252"/>
      <c r="AK88" s="253"/>
    </row>
    <row r="89" spans="1:37" ht="15" customHeight="1" x14ac:dyDescent="0.2">
      <c r="A89" s="251"/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3"/>
    </row>
    <row r="90" spans="1:37" ht="15" customHeight="1" x14ac:dyDescent="0.2">
      <c r="A90" s="251"/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2"/>
      <c r="AK90" s="253"/>
    </row>
    <row r="91" spans="1:37" ht="15" customHeight="1" x14ac:dyDescent="0.2">
      <c r="A91" s="251"/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52"/>
      <c r="AH91" s="252"/>
      <c r="AI91" s="252"/>
      <c r="AJ91" s="252"/>
      <c r="AK91" s="253"/>
    </row>
    <row r="92" spans="1:37" ht="15" customHeight="1" x14ac:dyDescent="0.2">
      <c r="A92" s="251"/>
      <c r="B92" s="252"/>
      <c r="C92" s="252"/>
      <c r="D92" s="252" t="s">
        <v>336</v>
      </c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3"/>
    </row>
    <row r="93" spans="1:37" ht="15" customHeight="1" x14ac:dyDescent="0.2">
      <c r="A93" s="251"/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2"/>
      <c r="AK93" s="253"/>
    </row>
    <row r="94" spans="1:37" ht="15" customHeight="1" x14ac:dyDescent="0.2">
      <c r="A94" s="251"/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52"/>
      <c r="AI94" s="252"/>
      <c r="AJ94" s="252"/>
      <c r="AK94" s="253"/>
    </row>
    <row r="95" spans="1:37" ht="15" customHeight="1" x14ac:dyDescent="0.2">
      <c r="A95" s="251"/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52"/>
      <c r="AG95" s="252"/>
      <c r="AH95" s="252"/>
      <c r="AI95" s="252"/>
      <c r="AJ95" s="252"/>
      <c r="AK95" s="253"/>
    </row>
    <row r="96" spans="1:37" ht="15" customHeight="1" x14ac:dyDescent="0.2">
      <c r="A96" s="251"/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2"/>
      <c r="AH96" s="252"/>
      <c r="AI96" s="252"/>
      <c r="AJ96" s="252"/>
      <c r="AK96" s="253"/>
    </row>
    <row r="97" spans="1:37" ht="15" customHeight="1" x14ac:dyDescent="0.2">
      <c r="A97" s="251"/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2"/>
      <c r="AK97" s="253"/>
    </row>
    <row r="98" spans="1:37" ht="15" customHeight="1" x14ac:dyDescent="0.2">
      <c r="A98" s="251"/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3"/>
    </row>
    <row r="99" spans="1:37" ht="15" customHeight="1" x14ac:dyDescent="0.2">
      <c r="A99" s="251"/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2"/>
      <c r="AH99" s="252"/>
      <c r="AI99" s="252"/>
      <c r="AJ99" s="252"/>
      <c r="AK99" s="253"/>
    </row>
    <row r="100" spans="1:37" ht="15" customHeight="1" x14ac:dyDescent="0.2">
      <c r="A100" s="251"/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3"/>
    </row>
    <row r="101" spans="1:37" ht="15" customHeight="1" x14ac:dyDescent="0.2">
      <c r="A101" s="251"/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2"/>
      <c r="AK101" s="253"/>
    </row>
    <row r="102" spans="1:37" ht="15" customHeight="1" x14ac:dyDescent="0.2">
      <c r="A102" s="251"/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2"/>
      <c r="AJ102" s="252"/>
      <c r="AK102" s="253"/>
    </row>
    <row r="103" spans="1:37" ht="15" customHeight="1" x14ac:dyDescent="0.2">
      <c r="A103" s="251"/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2"/>
      <c r="AK103" s="253"/>
    </row>
    <row r="104" spans="1:37" ht="15" customHeight="1" x14ac:dyDescent="0.2">
      <c r="A104" s="251"/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  <c r="AH104" s="252"/>
      <c r="AI104" s="252"/>
      <c r="AJ104" s="252"/>
      <c r="AK104" s="253"/>
    </row>
    <row r="105" spans="1:37" ht="15" customHeight="1" x14ac:dyDescent="0.2">
      <c r="A105" s="251"/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52"/>
      <c r="AG105" s="252"/>
      <c r="AH105" s="252"/>
      <c r="AI105" s="252"/>
      <c r="AJ105" s="252"/>
      <c r="AK105" s="253"/>
    </row>
    <row r="106" spans="1:37" ht="15" customHeight="1" x14ac:dyDescent="0.2">
      <c r="A106" s="251"/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253"/>
    </row>
    <row r="107" spans="1:37" ht="15" customHeight="1" x14ac:dyDescent="0.2">
      <c r="A107" s="251"/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2"/>
      <c r="AJ107" s="252"/>
      <c r="AK107" s="253"/>
    </row>
    <row r="108" spans="1:37" ht="15" customHeight="1" x14ac:dyDescent="0.2">
      <c r="A108" s="251"/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52"/>
      <c r="AG108" s="252"/>
      <c r="AH108" s="252"/>
      <c r="AI108" s="252"/>
      <c r="AJ108" s="252"/>
      <c r="AK108" s="253"/>
    </row>
    <row r="109" spans="1:37" ht="15" customHeight="1" x14ac:dyDescent="0.2">
      <c r="A109" s="251"/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52"/>
      <c r="AG109" s="252"/>
      <c r="AH109" s="252"/>
      <c r="AI109" s="252"/>
      <c r="AJ109" s="252"/>
      <c r="AK109" s="253"/>
    </row>
    <row r="110" spans="1:37" ht="15" customHeight="1" x14ac:dyDescent="0.2">
      <c r="A110" s="251"/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  <c r="Z110" s="252"/>
      <c r="AA110" s="252"/>
      <c r="AB110" s="252"/>
      <c r="AC110" s="252"/>
      <c r="AD110" s="252"/>
      <c r="AE110" s="252"/>
      <c r="AF110" s="252"/>
      <c r="AG110" s="252"/>
      <c r="AH110" s="252"/>
      <c r="AI110" s="252"/>
      <c r="AJ110" s="252"/>
      <c r="AK110" s="253"/>
    </row>
    <row r="111" spans="1:37" ht="15" customHeight="1" x14ac:dyDescent="0.2">
      <c r="A111" s="10"/>
      <c r="B111" s="10"/>
      <c r="C111" s="10"/>
      <c r="D111" s="10"/>
      <c r="E111" s="15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</row>
    <row r="112" spans="1:37" ht="15" customHeight="1" x14ac:dyDescent="0.2">
      <c r="A112" s="10"/>
      <c r="B112" s="10"/>
      <c r="C112" s="10"/>
      <c r="D112" s="10"/>
      <c r="E112" s="15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</row>
    <row r="113" spans="1:32" ht="15" customHeight="1" x14ac:dyDescent="0.2">
      <c r="A113" s="10"/>
      <c r="B113" s="10"/>
      <c r="C113" s="10"/>
      <c r="D113" s="10"/>
      <c r="E113" s="15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</row>
    <row r="114" spans="1:32" ht="15" customHeight="1" x14ac:dyDescent="0.2">
      <c r="A114" s="10"/>
      <c r="B114" s="10"/>
      <c r="C114" s="10"/>
      <c r="D114" s="10"/>
      <c r="E114" s="152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</row>
    <row r="115" spans="1:32" ht="15" customHeight="1" x14ac:dyDescent="0.2">
      <c r="A115" s="10"/>
      <c r="B115" s="10"/>
      <c r="C115" s="10"/>
      <c r="D115" s="10"/>
      <c r="E115" s="152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</row>
    <row r="116" spans="1:32" ht="15" customHeight="1" x14ac:dyDescent="0.2">
      <c r="A116" s="10"/>
      <c r="B116" s="10"/>
      <c r="C116" s="10"/>
      <c r="D116" s="10"/>
      <c r="E116" s="152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</row>
    <row r="117" spans="1:32" ht="15" customHeight="1" x14ac:dyDescent="0.2">
      <c r="A117" s="10"/>
      <c r="B117" s="10"/>
      <c r="C117" s="10"/>
      <c r="D117" s="10"/>
      <c r="E117" s="152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</row>
    <row r="118" spans="1:32" ht="15" customHeight="1" x14ac:dyDescent="0.2">
      <c r="A118" s="10"/>
      <c r="B118" s="10"/>
      <c r="C118" s="10"/>
      <c r="D118" s="10"/>
      <c r="E118" s="152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</row>
    <row r="119" spans="1:32" ht="15" customHeight="1" x14ac:dyDescent="0.2">
      <c r="A119" s="10"/>
      <c r="B119" s="10"/>
      <c r="C119" s="10"/>
      <c r="D119" s="10"/>
      <c r="E119" s="152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</row>
    <row r="120" spans="1:32" ht="15" customHeight="1" x14ac:dyDescent="0.2">
      <c r="A120" s="10"/>
      <c r="B120" s="10"/>
      <c r="C120" s="10"/>
      <c r="D120" s="10"/>
      <c r="E120" s="152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</row>
    <row r="121" spans="1:32" ht="15" customHeight="1" x14ac:dyDescent="0.2">
      <c r="A121" s="10"/>
      <c r="B121" s="10"/>
      <c r="C121" s="10"/>
      <c r="D121" s="10"/>
      <c r="E121" s="152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</row>
    <row r="122" spans="1:32" ht="15" customHeight="1" x14ac:dyDescent="0.2">
      <c r="A122" s="10"/>
      <c r="B122" s="10"/>
      <c r="C122" s="10"/>
      <c r="D122" s="10"/>
      <c r="E122" s="152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</row>
    <row r="123" spans="1:32" ht="15" customHeight="1" x14ac:dyDescent="0.2">
      <c r="A123" s="10"/>
      <c r="B123" s="10"/>
      <c r="C123" s="10"/>
      <c r="D123" s="10"/>
      <c r="E123" s="152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</row>
    <row r="124" spans="1:32" x14ac:dyDescent="0.2">
      <c r="A124" s="10"/>
      <c r="B124" s="10"/>
      <c r="C124" s="10"/>
      <c r="D124" s="10"/>
      <c r="E124" s="152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</row>
    <row r="125" spans="1:32" x14ac:dyDescent="0.2">
      <c r="A125" s="10"/>
      <c r="B125" s="10"/>
      <c r="C125" s="10"/>
      <c r="D125" s="10"/>
      <c r="E125" s="152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</row>
    <row r="126" spans="1:32" x14ac:dyDescent="0.2">
      <c r="A126" s="10"/>
      <c r="B126" s="10"/>
      <c r="C126" s="10"/>
      <c r="D126" s="10"/>
      <c r="E126" s="152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</row>
    <row r="127" spans="1:32" x14ac:dyDescent="0.2">
      <c r="A127" s="10"/>
      <c r="B127" s="10"/>
      <c r="C127" s="10"/>
      <c r="D127" s="10"/>
      <c r="E127" s="152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</row>
    <row r="128" spans="1:32" x14ac:dyDescent="0.2">
      <c r="A128" s="10"/>
      <c r="B128" s="10"/>
      <c r="C128" s="10"/>
      <c r="D128" s="10"/>
      <c r="E128" s="152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</row>
    <row r="129" spans="1:32" x14ac:dyDescent="0.2">
      <c r="A129" s="10"/>
      <c r="B129" s="10"/>
      <c r="C129" s="10"/>
      <c r="D129" s="10"/>
      <c r="E129" s="152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</row>
    <row r="130" spans="1:32" x14ac:dyDescent="0.2">
      <c r="A130" s="10"/>
      <c r="B130" s="10"/>
      <c r="C130" s="10"/>
      <c r="D130" s="10"/>
      <c r="E130" s="152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</row>
    <row r="131" spans="1:32" x14ac:dyDescent="0.2">
      <c r="A131" s="10"/>
      <c r="B131" s="10"/>
      <c r="C131" s="10"/>
      <c r="D131" s="10"/>
      <c r="E131" s="152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</row>
    <row r="132" spans="1:32" x14ac:dyDescent="0.2">
      <c r="A132" s="10"/>
      <c r="B132" s="10"/>
      <c r="C132" s="10"/>
      <c r="D132" s="10"/>
      <c r="E132" s="152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</row>
    <row r="133" spans="1:32" x14ac:dyDescent="0.2">
      <c r="A133" s="10"/>
      <c r="B133" s="10"/>
      <c r="C133" s="10"/>
      <c r="D133" s="10"/>
      <c r="E133" s="152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</row>
    <row r="134" spans="1:32" x14ac:dyDescent="0.2">
      <c r="A134" s="10"/>
      <c r="B134" s="10"/>
      <c r="C134" s="10"/>
      <c r="D134" s="10"/>
      <c r="E134" s="152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 spans="1:32" x14ac:dyDescent="0.2">
      <c r="A135" s="10"/>
      <c r="B135" s="10"/>
      <c r="C135" s="10"/>
      <c r="D135" s="10"/>
      <c r="E135" s="152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</row>
    <row r="136" spans="1:32" x14ac:dyDescent="0.2">
      <c r="A136" s="10"/>
      <c r="B136" s="10"/>
      <c r="C136" s="10"/>
      <c r="D136" s="10"/>
      <c r="E136" s="152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</row>
    <row r="137" spans="1:32" x14ac:dyDescent="0.2">
      <c r="A137" s="10"/>
      <c r="B137" s="10"/>
      <c r="C137" s="10"/>
      <c r="D137" s="10"/>
      <c r="E137" s="152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</row>
    <row r="138" spans="1:32" x14ac:dyDescent="0.2">
      <c r="A138" s="10"/>
      <c r="B138" s="10"/>
      <c r="C138" s="10"/>
      <c r="D138" s="10"/>
      <c r="E138" s="152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</row>
    <row r="139" spans="1:32" x14ac:dyDescent="0.2">
      <c r="A139" s="10"/>
      <c r="B139" s="10"/>
      <c r="C139" s="10"/>
      <c r="D139" s="10"/>
      <c r="E139" s="152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</row>
    <row r="140" spans="1:32" x14ac:dyDescent="0.2">
      <c r="A140" s="10"/>
      <c r="B140" s="10"/>
      <c r="C140" s="10"/>
      <c r="D140" s="10"/>
      <c r="E140" s="152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</row>
    <row r="141" spans="1:32" x14ac:dyDescent="0.2">
      <c r="A141" s="10"/>
      <c r="B141" s="10"/>
      <c r="C141" s="10"/>
      <c r="D141" s="10"/>
      <c r="E141" s="152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</row>
    <row r="142" spans="1:32" x14ac:dyDescent="0.2">
      <c r="A142" s="10"/>
      <c r="B142" s="10"/>
      <c r="C142" s="10"/>
      <c r="D142" s="10"/>
      <c r="E142" s="152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</row>
    <row r="143" spans="1:32" x14ac:dyDescent="0.2">
      <c r="A143" s="10"/>
      <c r="B143" s="10"/>
      <c r="C143" s="10"/>
      <c r="D143" s="10"/>
      <c r="E143" s="152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</row>
    <row r="144" spans="1:32" x14ac:dyDescent="0.2">
      <c r="A144" s="10"/>
      <c r="B144" s="10"/>
      <c r="C144" s="10"/>
      <c r="D144" s="10"/>
      <c r="E144" s="152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</row>
    <row r="145" spans="1:32" x14ac:dyDescent="0.2">
      <c r="A145" s="10"/>
      <c r="B145" s="10"/>
      <c r="C145" s="10"/>
      <c r="D145" s="10"/>
      <c r="E145" s="152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</row>
    <row r="146" spans="1:32" x14ac:dyDescent="0.2">
      <c r="A146" s="10"/>
      <c r="B146" s="10"/>
      <c r="C146" s="10"/>
      <c r="D146" s="10"/>
      <c r="E146" s="152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</row>
    <row r="147" spans="1:32" x14ac:dyDescent="0.2">
      <c r="A147" s="10"/>
      <c r="B147" s="10"/>
      <c r="C147" s="10"/>
      <c r="D147" s="10"/>
      <c r="E147" s="152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</row>
    <row r="148" spans="1:32" x14ac:dyDescent="0.2">
      <c r="A148" s="10"/>
      <c r="B148" s="10"/>
      <c r="C148" s="10"/>
      <c r="D148" s="10"/>
      <c r="E148" s="152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</row>
    <row r="149" spans="1:32" x14ac:dyDescent="0.2">
      <c r="A149" s="10"/>
      <c r="B149" s="10"/>
      <c r="C149" s="10"/>
      <c r="D149" s="10"/>
      <c r="E149" s="152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</row>
    <row r="150" spans="1:32" x14ac:dyDescent="0.2">
      <c r="A150" s="10"/>
      <c r="B150" s="10"/>
      <c r="C150" s="10"/>
      <c r="D150" s="10"/>
      <c r="E150" s="152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</row>
    <row r="151" spans="1:32" x14ac:dyDescent="0.2">
      <c r="A151" s="10"/>
      <c r="B151" s="10"/>
      <c r="C151" s="10"/>
      <c r="D151" s="10"/>
      <c r="E151" s="152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</row>
    <row r="152" spans="1:32" x14ac:dyDescent="0.2">
      <c r="A152" s="10"/>
      <c r="B152" s="10"/>
      <c r="C152" s="10"/>
      <c r="D152" s="10"/>
      <c r="E152" s="152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</row>
    <row r="153" spans="1:32" x14ac:dyDescent="0.2">
      <c r="A153" s="10"/>
      <c r="B153" s="10"/>
      <c r="C153" s="10"/>
      <c r="D153" s="10"/>
      <c r="E153" s="152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</row>
    <row r="154" spans="1:32" x14ac:dyDescent="0.2">
      <c r="A154" s="10"/>
      <c r="B154" s="10"/>
      <c r="C154" s="10"/>
      <c r="D154" s="10"/>
      <c r="E154" s="152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</row>
    <row r="155" spans="1:32" x14ac:dyDescent="0.2">
      <c r="A155" s="10"/>
      <c r="B155" s="10"/>
      <c r="C155" s="10"/>
      <c r="D155" s="10"/>
      <c r="E155" s="152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</row>
    <row r="156" spans="1:32" x14ac:dyDescent="0.2">
      <c r="A156" s="10"/>
      <c r="B156" s="10"/>
      <c r="C156" s="10"/>
      <c r="D156" s="10"/>
      <c r="E156" s="152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</row>
    <row r="157" spans="1:32" x14ac:dyDescent="0.2">
      <c r="A157" s="10"/>
      <c r="B157" s="10"/>
      <c r="C157" s="10"/>
      <c r="D157" s="10"/>
      <c r="E157" s="152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</row>
    <row r="158" spans="1:32" x14ac:dyDescent="0.2">
      <c r="A158" s="10"/>
      <c r="B158" s="10"/>
      <c r="C158" s="10"/>
      <c r="D158" s="10"/>
      <c r="E158" s="152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</row>
    <row r="159" spans="1:32" x14ac:dyDescent="0.2">
      <c r="A159" s="10"/>
      <c r="B159" s="10"/>
      <c r="C159" s="10"/>
      <c r="D159" s="10"/>
      <c r="E159" s="152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</row>
    <row r="160" spans="1:32" x14ac:dyDescent="0.2">
      <c r="A160" s="10"/>
      <c r="B160" s="10"/>
      <c r="C160" s="10"/>
      <c r="D160" s="10"/>
      <c r="E160" s="152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</row>
    <row r="161" spans="1:32" x14ac:dyDescent="0.2">
      <c r="A161" s="10"/>
      <c r="B161" s="10"/>
      <c r="C161" s="10"/>
      <c r="D161" s="10"/>
      <c r="E161" s="152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</row>
    <row r="162" spans="1:32" x14ac:dyDescent="0.2">
      <c r="A162" s="10"/>
      <c r="B162" s="10"/>
      <c r="C162" s="10"/>
      <c r="D162" s="10"/>
      <c r="E162" s="152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</row>
    <row r="163" spans="1:32" x14ac:dyDescent="0.2">
      <c r="A163" s="10"/>
      <c r="B163" s="10"/>
      <c r="C163" s="10"/>
      <c r="D163" s="10"/>
      <c r="E163" s="152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</row>
    <row r="164" spans="1:32" x14ac:dyDescent="0.2">
      <c r="A164" s="10"/>
      <c r="B164" s="10"/>
      <c r="C164" s="10"/>
      <c r="D164" s="10"/>
      <c r="E164" s="152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</row>
    <row r="165" spans="1:32" x14ac:dyDescent="0.2">
      <c r="A165" s="10"/>
      <c r="B165" s="10"/>
      <c r="C165" s="10"/>
      <c r="D165" s="10"/>
      <c r="E165" s="152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</row>
    <row r="166" spans="1:32" x14ac:dyDescent="0.2">
      <c r="A166" s="10"/>
      <c r="B166" s="10"/>
      <c r="C166" s="10"/>
      <c r="D166" s="10"/>
      <c r="E166" s="152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</row>
    <row r="167" spans="1:32" x14ac:dyDescent="0.2">
      <c r="A167" s="10"/>
      <c r="B167" s="10"/>
      <c r="C167" s="10"/>
      <c r="D167" s="10"/>
      <c r="E167" s="152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</row>
    <row r="168" spans="1:32" x14ac:dyDescent="0.2">
      <c r="A168" s="10"/>
      <c r="B168" s="10"/>
      <c r="C168" s="10"/>
      <c r="D168" s="10"/>
      <c r="E168" s="152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</row>
    <row r="169" spans="1:32" x14ac:dyDescent="0.2">
      <c r="A169" s="10"/>
      <c r="B169" s="10"/>
      <c r="C169" s="10"/>
      <c r="D169" s="10"/>
      <c r="E169" s="152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</row>
    <row r="170" spans="1:32" x14ac:dyDescent="0.2">
      <c r="A170" s="10"/>
      <c r="B170" s="10"/>
      <c r="C170" s="10"/>
      <c r="D170" s="10"/>
      <c r="E170" s="152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</row>
    <row r="171" spans="1:32" x14ac:dyDescent="0.2">
      <c r="A171" s="10"/>
      <c r="B171" s="10"/>
      <c r="C171" s="10"/>
      <c r="D171" s="10"/>
      <c r="E171" s="152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</row>
    <row r="172" spans="1:32" x14ac:dyDescent="0.2">
      <c r="A172" s="10"/>
      <c r="B172" s="10"/>
      <c r="C172" s="10"/>
      <c r="D172" s="10"/>
      <c r="E172" s="152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</row>
    <row r="173" spans="1:32" x14ac:dyDescent="0.2">
      <c r="A173" s="10"/>
      <c r="B173" s="10"/>
      <c r="C173" s="10"/>
      <c r="D173" s="10"/>
      <c r="E173" s="152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</row>
    <row r="174" spans="1:32" x14ac:dyDescent="0.2">
      <c r="A174" s="10"/>
      <c r="B174" s="10"/>
      <c r="C174" s="10"/>
      <c r="D174" s="10"/>
      <c r="E174" s="152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</row>
    <row r="175" spans="1:32" x14ac:dyDescent="0.2">
      <c r="A175" s="10"/>
      <c r="B175" s="10"/>
      <c r="C175" s="10"/>
      <c r="D175" s="10"/>
      <c r="E175" s="152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</row>
    <row r="176" spans="1:32" x14ac:dyDescent="0.2">
      <c r="A176" s="10"/>
      <c r="B176" s="10"/>
      <c r="C176" s="10"/>
      <c r="D176" s="10"/>
      <c r="E176" s="152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</row>
    <row r="177" spans="1:32" x14ac:dyDescent="0.2">
      <c r="A177" s="10"/>
      <c r="B177" s="10"/>
      <c r="C177" s="10"/>
      <c r="D177" s="10"/>
      <c r="E177" s="152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</row>
    <row r="178" spans="1:32" x14ac:dyDescent="0.2">
      <c r="A178" s="10"/>
      <c r="B178" s="10"/>
      <c r="C178" s="10"/>
      <c r="D178" s="10"/>
      <c r="E178" s="152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</row>
    <row r="179" spans="1:32" x14ac:dyDescent="0.2">
      <c r="A179" s="10"/>
      <c r="B179" s="10"/>
      <c r="C179" s="10"/>
      <c r="D179" s="10"/>
      <c r="E179" s="152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</row>
    <row r="180" spans="1:32" x14ac:dyDescent="0.2">
      <c r="A180" s="10"/>
      <c r="B180" s="10"/>
      <c r="C180" s="10"/>
      <c r="D180" s="10"/>
      <c r="E180" s="152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</row>
    <row r="181" spans="1:32" x14ac:dyDescent="0.2">
      <c r="A181" s="10"/>
      <c r="B181" s="10"/>
      <c r="C181" s="10"/>
      <c r="D181" s="10"/>
      <c r="E181" s="152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</row>
    <row r="182" spans="1:32" x14ac:dyDescent="0.2">
      <c r="A182" s="10"/>
      <c r="B182" s="10"/>
      <c r="C182" s="10"/>
      <c r="D182" s="10"/>
      <c r="E182" s="152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</row>
    <row r="183" spans="1:32" x14ac:dyDescent="0.2">
      <c r="A183" s="10"/>
      <c r="B183" s="10"/>
      <c r="C183" s="10"/>
      <c r="D183" s="10"/>
      <c r="E183" s="152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</row>
    <row r="184" spans="1:32" x14ac:dyDescent="0.2">
      <c r="A184" s="10"/>
      <c r="B184" s="10"/>
      <c r="C184" s="10"/>
      <c r="D184" s="10"/>
      <c r="E184" s="152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</row>
    <row r="185" spans="1:32" x14ac:dyDescent="0.2">
      <c r="A185" s="10"/>
      <c r="B185" s="10"/>
      <c r="C185" s="10"/>
      <c r="D185" s="10"/>
      <c r="E185" s="152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</row>
    <row r="186" spans="1:32" x14ac:dyDescent="0.2">
      <c r="A186" s="10"/>
      <c r="B186" s="10"/>
      <c r="C186" s="10"/>
      <c r="D186" s="10"/>
      <c r="E186" s="152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</row>
    <row r="187" spans="1:32" x14ac:dyDescent="0.2">
      <c r="A187" s="10"/>
      <c r="B187" s="10"/>
      <c r="C187" s="10"/>
      <c r="D187" s="10"/>
      <c r="E187" s="152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</row>
    <row r="188" spans="1:32" x14ac:dyDescent="0.2">
      <c r="A188" s="10"/>
      <c r="B188" s="10"/>
      <c r="C188" s="10"/>
      <c r="D188" s="10"/>
      <c r="E188" s="152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</row>
    <row r="189" spans="1:32" x14ac:dyDescent="0.2">
      <c r="A189" s="10"/>
      <c r="B189" s="10"/>
      <c r="C189" s="10"/>
      <c r="D189" s="10"/>
      <c r="E189" s="152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</row>
    <row r="190" spans="1:32" x14ac:dyDescent="0.2">
      <c r="A190" s="10"/>
      <c r="B190" s="10"/>
      <c r="C190" s="10"/>
      <c r="D190" s="10"/>
      <c r="E190" s="152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</row>
    <row r="191" spans="1:32" x14ac:dyDescent="0.2">
      <c r="A191" s="10"/>
      <c r="B191" s="10"/>
      <c r="C191" s="10"/>
      <c r="D191" s="10"/>
      <c r="E191" s="152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</row>
    <row r="192" spans="1:32" x14ac:dyDescent="0.2">
      <c r="A192" s="10"/>
      <c r="B192" s="10"/>
      <c r="C192" s="10"/>
      <c r="D192" s="10"/>
      <c r="E192" s="152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</row>
    <row r="193" spans="1:32" x14ac:dyDescent="0.2">
      <c r="A193" s="10"/>
      <c r="B193" s="10"/>
      <c r="C193" s="10"/>
      <c r="D193" s="10"/>
      <c r="E193" s="152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</row>
    <row r="194" spans="1:32" x14ac:dyDescent="0.2">
      <c r="A194" s="10"/>
      <c r="B194" s="10"/>
      <c r="C194" s="10"/>
      <c r="D194" s="10"/>
      <c r="E194" s="152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</row>
    <row r="195" spans="1:32" x14ac:dyDescent="0.2">
      <c r="A195" s="10"/>
      <c r="B195" s="10"/>
      <c r="C195" s="10"/>
      <c r="D195" s="10"/>
      <c r="E195" s="152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</row>
    <row r="196" spans="1:32" x14ac:dyDescent="0.2">
      <c r="A196" s="10"/>
      <c r="B196" s="10"/>
      <c r="C196" s="10"/>
      <c r="D196" s="10"/>
      <c r="E196" s="152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</row>
    <row r="197" spans="1:32" x14ac:dyDescent="0.2">
      <c r="A197" s="10"/>
      <c r="B197" s="10"/>
      <c r="C197" s="10"/>
      <c r="D197" s="10"/>
      <c r="E197" s="152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</row>
    <row r="198" spans="1:32" x14ac:dyDescent="0.2">
      <c r="A198" s="10"/>
      <c r="B198" s="10"/>
      <c r="C198" s="10"/>
      <c r="D198" s="10"/>
      <c r="E198" s="152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</row>
    <row r="199" spans="1:32" x14ac:dyDescent="0.2">
      <c r="A199" s="10"/>
      <c r="B199" s="10"/>
      <c r="C199" s="10"/>
      <c r="D199" s="10"/>
      <c r="E199" s="152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</row>
    <row r="200" spans="1:32" x14ac:dyDescent="0.2">
      <c r="A200" s="10"/>
      <c r="B200" s="10"/>
      <c r="C200" s="10"/>
      <c r="D200" s="10"/>
      <c r="E200" s="152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</row>
    <row r="201" spans="1:32" x14ac:dyDescent="0.2">
      <c r="A201" s="10"/>
      <c r="B201" s="10"/>
      <c r="C201" s="10"/>
      <c r="D201" s="10"/>
      <c r="E201" s="152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</row>
    <row r="202" spans="1:32" x14ac:dyDescent="0.2">
      <c r="A202" s="10"/>
      <c r="B202" s="10"/>
      <c r="C202" s="10"/>
      <c r="D202" s="10"/>
      <c r="E202" s="152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</row>
    <row r="203" spans="1:32" x14ac:dyDescent="0.2">
      <c r="A203" s="10"/>
      <c r="B203" s="10"/>
      <c r="C203" s="10"/>
      <c r="D203" s="10"/>
      <c r="E203" s="152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</row>
    <row r="204" spans="1:32" x14ac:dyDescent="0.2">
      <c r="A204" s="10"/>
      <c r="B204" s="10"/>
      <c r="C204" s="10"/>
      <c r="D204" s="10"/>
      <c r="E204" s="152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</row>
    <row r="205" spans="1:32" x14ac:dyDescent="0.2">
      <c r="A205" s="10"/>
      <c r="B205" s="10"/>
      <c r="C205" s="10"/>
      <c r="D205" s="10"/>
      <c r="E205" s="152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</row>
    <row r="206" spans="1:32" x14ac:dyDescent="0.2">
      <c r="A206" s="10"/>
      <c r="B206" s="10"/>
      <c r="C206" s="10"/>
      <c r="D206" s="10"/>
      <c r="E206" s="152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</row>
    <row r="207" spans="1:32" x14ac:dyDescent="0.2">
      <c r="A207" s="10"/>
      <c r="B207" s="10"/>
      <c r="C207" s="10"/>
      <c r="D207" s="10"/>
      <c r="E207" s="152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</row>
    <row r="208" spans="1:32" x14ac:dyDescent="0.2">
      <c r="A208" s="10"/>
      <c r="B208" s="10"/>
      <c r="C208" s="10"/>
      <c r="D208" s="10"/>
      <c r="E208" s="152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</row>
    <row r="209" spans="1:32" x14ac:dyDescent="0.2">
      <c r="A209" s="10"/>
      <c r="B209" s="10"/>
      <c r="C209" s="10"/>
      <c r="D209" s="10"/>
      <c r="E209" s="152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</row>
    <row r="210" spans="1:32" x14ac:dyDescent="0.2">
      <c r="A210" s="10"/>
      <c r="B210" s="10"/>
      <c r="C210" s="10"/>
      <c r="D210" s="10"/>
      <c r="E210" s="152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</row>
    <row r="211" spans="1:32" x14ac:dyDescent="0.2">
      <c r="A211" s="10"/>
      <c r="B211" s="10"/>
      <c r="C211" s="10"/>
      <c r="D211" s="10"/>
      <c r="E211" s="152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</row>
    <row r="212" spans="1:32" x14ac:dyDescent="0.2">
      <c r="A212" s="10"/>
      <c r="B212" s="10"/>
      <c r="C212" s="10"/>
      <c r="D212" s="10"/>
      <c r="E212" s="152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</row>
    <row r="213" spans="1:32" x14ac:dyDescent="0.2">
      <c r="A213" s="10"/>
      <c r="B213" s="10"/>
      <c r="C213" s="10"/>
      <c r="D213" s="10"/>
      <c r="E213" s="152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</row>
    <row r="214" spans="1:32" x14ac:dyDescent="0.2">
      <c r="A214" s="10"/>
      <c r="B214" s="10"/>
      <c r="C214" s="10"/>
      <c r="D214" s="10"/>
      <c r="E214" s="152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</row>
    <row r="215" spans="1:32" x14ac:dyDescent="0.2">
      <c r="A215" s="10"/>
      <c r="B215" s="10"/>
      <c r="C215" s="10"/>
      <c r="D215" s="10"/>
      <c r="E215" s="152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</row>
    <row r="216" spans="1:32" x14ac:dyDescent="0.2">
      <c r="A216" s="10"/>
      <c r="B216" s="10"/>
      <c r="C216" s="10"/>
      <c r="D216" s="10"/>
      <c r="E216" s="152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</row>
    <row r="217" spans="1:32" x14ac:dyDescent="0.2">
      <c r="A217" s="10"/>
      <c r="B217" s="10"/>
      <c r="C217" s="10"/>
      <c r="D217" s="10"/>
      <c r="E217" s="152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</row>
    <row r="218" spans="1:32" x14ac:dyDescent="0.2">
      <c r="A218" s="10"/>
      <c r="B218" s="10"/>
      <c r="C218" s="10"/>
      <c r="D218" s="10"/>
      <c r="E218" s="152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</row>
    <row r="219" spans="1:32" x14ac:dyDescent="0.2">
      <c r="A219" s="10"/>
      <c r="B219" s="10"/>
      <c r="C219" s="10"/>
      <c r="D219" s="10"/>
      <c r="E219" s="152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</row>
    <row r="220" spans="1:32" x14ac:dyDescent="0.2">
      <c r="A220" s="10"/>
      <c r="B220" s="10"/>
      <c r="C220" s="10"/>
      <c r="D220" s="10"/>
      <c r="E220" s="152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</row>
    <row r="221" spans="1:32" x14ac:dyDescent="0.2">
      <c r="A221" s="10"/>
      <c r="B221" s="10"/>
      <c r="C221" s="10"/>
      <c r="D221" s="10"/>
      <c r="E221" s="152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</row>
    <row r="222" spans="1:32" x14ac:dyDescent="0.2">
      <c r="A222" s="10"/>
      <c r="B222" s="10"/>
      <c r="C222" s="10"/>
      <c r="D222" s="10"/>
      <c r="E222" s="152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</row>
    <row r="223" spans="1:32" x14ac:dyDescent="0.2">
      <c r="A223" s="10"/>
      <c r="B223" s="10"/>
      <c r="C223" s="10"/>
      <c r="D223" s="10"/>
      <c r="E223" s="152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</row>
    <row r="224" spans="1:32" x14ac:dyDescent="0.2">
      <c r="A224" s="10"/>
      <c r="B224" s="10"/>
      <c r="C224" s="10"/>
      <c r="D224" s="10"/>
      <c r="E224" s="152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</row>
    <row r="225" spans="1:32" x14ac:dyDescent="0.2">
      <c r="A225" s="10"/>
      <c r="B225" s="10"/>
      <c r="C225" s="10"/>
      <c r="D225" s="10"/>
      <c r="E225" s="152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</row>
    <row r="226" spans="1:32" x14ac:dyDescent="0.2">
      <c r="A226" s="10"/>
      <c r="B226" s="10"/>
      <c r="C226" s="10"/>
      <c r="D226" s="10"/>
      <c r="E226" s="152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</row>
    <row r="227" spans="1:32" x14ac:dyDescent="0.2">
      <c r="A227" s="10"/>
      <c r="B227" s="10"/>
      <c r="C227" s="10"/>
      <c r="D227" s="10"/>
      <c r="E227" s="152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</row>
    <row r="228" spans="1:32" x14ac:dyDescent="0.2">
      <c r="A228" s="10"/>
      <c r="B228" s="10"/>
      <c r="C228" s="10"/>
      <c r="D228" s="10"/>
      <c r="E228" s="152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</row>
    <row r="229" spans="1:32" x14ac:dyDescent="0.2">
      <c r="A229" s="10"/>
      <c r="B229" s="10"/>
      <c r="C229" s="10"/>
      <c r="D229" s="10"/>
      <c r="E229" s="152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</row>
    <row r="230" spans="1:32" x14ac:dyDescent="0.2">
      <c r="A230" s="10"/>
      <c r="B230" s="10"/>
      <c r="C230" s="10"/>
      <c r="D230" s="10"/>
      <c r="E230" s="152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</row>
    <row r="231" spans="1:32" x14ac:dyDescent="0.2">
      <c r="A231" s="10"/>
      <c r="B231" s="10"/>
      <c r="C231" s="10"/>
      <c r="D231" s="10"/>
      <c r="E231" s="152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</row>
    <row r="232" spans="1:32" x14ac:dyDescent="0.2">
      <c r="A232" s="10"/>
      <c r="B232" s="10"/>
      <c r="C232" s="10"/>
      <c r="D232" s="10"/>
      <c r="E232" s="152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</row>
    <row r="233" spans="1:32" x14ac:dyDescent="0.2">
      <c r="A233" s="10"/>
      <c r="B233" s="10"/>
      <c r="C233" s="10"/>
      <c r="D233" s="10"/>
      <c r="E233" s="152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</row>
    <row r="234" spans="1:32" x14ac:dyDescent="0.2">
      <c r="A234" s="10"/>
      <c r="B234" s="10"/>
      <c r="C234" s="10"/>
      <c r="D234" s="10"/>
      <c r="E234" s="152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</row>
    <row r="235" spans="1:32" x14ac:dyDescent="0.2">
      <c r="A235" s="10"/>
      <c r="B235" s="10"/>
      <c r="C235" s="10"/>
      <c r="D235" s="10"/>
      <c r="E235" s="152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</row>
    <row r="236" spans="1:32" x14ac:dyDescent="0.2">
      <c r="A236" s="10"/>
      <c r="B236" s="10"/>
      <c r="C236" s="10"/>
      <c r="D236" s="10"/>
      <c r="E236" s="152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</row>
    <row r="237" spans="1:32" x14ac:dyDescent="0.2">
      <c r="A237" s="10"/>
      <c r="B237" s="10"/>
      <c r="C237" s="10"/>
      <c r="D237" s="10"/>
      <c r="E237" s="152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</row>
    <row r="238" spans="1:32" x14ac:dyDescent="0.2">
      <c r="A238" s="10"/>
      <c r="B238" s="10"/>
      <c r="C238" s="10"/>
      <c r="D238" s="10"/>
      <c r="E238" s="152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</row>
    <row r="239" spans="1:32" x14ac:dyDescent="0.2">
      <c r="A239" s="10"/>
      <c r="B239" s="10"/>
      <c r="C239" s="10"/>
      <c r="D239" s="10"/>
      <c r="E239" s="152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</row>
    <row r="240" spans="1:32" x14ac:dyDescent="0.2">
      <c r="A240" s="10"/>
      <c r="B240" s="10"/>
      <c r="C240" s="10"/>
      <c r="D240" s="10"/>
      <c r="E240" s="152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</row>
    <row r="241" spans="1:32" x14ac:dyDescent="0.2">
      <c r="A241" s="10"/>
      <c r="B241" s="10"/>
      <c r="C241" s="10"/>
      <c r="D241" s="10"/>
      <c r="E241" s="152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</row>
    <row r="242" spans="1:32" x14ac:dyDescent="0.2">
      <c r="A242" s="10"/>
      <c r="B242" s="10"/>
      <c r="C242" s="10"/>
      <c r="D242" s="10"/>
      <c r="E242" s="152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</row>
    <row r="243" spans="1:32" x14ac:dyDescent="0.2">
      <c r="A243" s="10"/>
      <c r="B243" s="10"/>
      <c r="C243" s="10"/>
      <c r="D243" s="10"/>
      <c r="E243" s="152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</row>
    <row r="244" spans="1:32" x14ac:dyDescent="0.2">
      <c r="A244" s="10"/>
      <c r="B244" s="10"/>
      <c r="C244" s="10"/>
      <c r="D244" s="10"/>
      <c r="E244" s="152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</row>
    <row r="245" spans="1:32" x14ac:dyDescent="0.2">
      <c r="A245" s="10"/>
      <c r="B245" s="10"/>
      <c r="C245" s="10"/>
      <c r="D245" s="10"/>
      <c r="E245" s="152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</row>
    <row r="246" spans="1:32" x14ac:dyDescent="0.2">
      <c r="A246" s="10"/>
      <c r="B246" s="10"/>
      <c r="C246" s="10"/>
      <c r="D246" s="10"/>
      <c r="E246" s="152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</row>
    <row r="247" spans="1:32" x14ac:dyDescent="0.2">
      <c r="A247" s="10"/>
      <c r="B247" s="10"/>
      <c r="C247" s="10"/>
      <c r="D247" s="10"/>
      <c r="E247" s="152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</row>
    <row r="248" spans="1:32" x14ac:dyDescent="0.2">
      <c r="A248" s="10"/>
      <c r="B248" s="10"/>
      <c r="C248" s="10"/>
      <c r="D248" s="10"/>
      <c r="E248" s="152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</row>
    <row r="249" spans="1:32" x14ac:dyDescent="0.2">
      <c r="A249" s="10"/>
      <c r="B249" s="10"/>
      <c r="C249" s="10"/>
      <c r="D249" s="10"/>
      <c r="E249" s="152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</row>
    <row r="250" spans="1:32" x14ac:dyDescent="0.2">
      <c r="A250" s="10"/>
      <c r="B250" s="10"/>
      <c r="C250" s="10"/>
      <c r="D250" s="10"/>
      <c r="E250" s="152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</row>
    <row r="251" spans="1:32" x14ac:dyDescent="0.2">
      <c r="A251" s="10"/>
      <c r="B251" s="10"/>
      <c r="C251" s="10"/>
      <c r="D251" s="10"/>
      <c r="E251" s="152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</row>
    <row r="252" spans="1:32" x14ac:dyDescent="0.2">
      <c r="A252" s="10"/>
      <c r="B252" s="10"/>
      <c r="C252" s="10"/>
      <c r="D252" s="10"/>
      <c r="E252" s="152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</row>
    <row r="253" spans="1:32" x14ac:dyDescent="0.2">
      <c r="A253" s="10"/>
      <c r="B253" s="10"/>
      <c r="C253" s="10"/>
      <c r="D253" s="10"/>
      <c r="E253" s="152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</row>
    <row r="254" spans="1:32" x14ac:dyDescent="0.2">
      <c r="A254" s="10"/>
      <c r="B254" s="10"/>
      <c r="C254" s="10"/>
      <c r="D254" s="10"/>
      <c r="E254" s="152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</row>
    <row r="255" spans="1:32" x14ac:dyDescent="0.2">
      <c r="A255" s="10"/>
      <c r="B255" s="10"/>
      <c r="C255" s="10"/>
      <c r="D255" s="10"/>
      <c r="E255" s="152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</row>
    <row r="256" spans="1:32" x14ac:dyDescent="0.2">
      <c r="A256" s="10"/>
      <c r="B256" s="10"/>
      <c r="C256" s="10"/>
      <c r="D256" s="10"/>
      <c r="E256" s="152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</row>
    <row r="257" spans="1:32" x14ac:dyDescent="0.2">
      <c r="A257" s="10"/>
      <c r="B257" s="10"/>
      <c r="C257" s="10"/>
      <c r="D257" s="10"/>
      <c r="E257" s="152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</row>
    <row r="258" spans="1:32" x14ac:dyDescent="0.2">
      <c r="A258" s="10"/>
      <c r="B258" s="10"/>
      <c r="C258" s="10"/>
      <c r="D258" s="10"/>
      <c r="E258" s="152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</row>
    <row r="259" spans="1:32" x14ac:dyDescent="0.2">
      <c r="A259" s="10"/>
      <c r="B259" s="10"/>
      <c r="C259" s="10"/>
      <c r="D259" s="10"/>
      <c r="E259" s="152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</row>
    <row r="260" spans="1:32" x14ac:dyDescent="0.2">
      <c r="A260" s="10"/>
      <c r="B260" s="10"/>
      <c r="C260" s="10"/>
      <c r="D260" s="10"/>
      <c r="E260" s="152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</row>
    <row r="261" spans="1:32" x14ac:dyDescent="0.2">
      <c r="A261" s="10"/>
      <c r="B261" s="10"/>
      <c r="C261" s="10"/>
      <c r="D261" s="10"/>
      <c r="E261" s="152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</row>
    <row r="262" spans="1:32" x14ac:dyDescent="0.2">
      <c r="A262" s="10"/>
      <c r="B262" s="10"/>
      <c r="C262" s="10"/>
      <c r="D262" s="10"/>
      <c r="E262" s="152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</row>
    <row r="263" spans="1:32" x14ac:dyDescent="0.2">
      <c r="A263" s="10"/>
      <c r="B263" s="10"/>
      <c r="C263" s="10"/>
      <c r="D263" s="10"/>
      <c r="E263" s="152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</row>
    <row r="264" spans="1:32" x14ac:dyDescent="0.2">
      <c r="A264" s="10"/>
      <c r="B264" s="10"/>
      <c r="C264" s="10"/>
      <c r="D264" s="10"/>
      <c r="E264" s="152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</row>
    <row r="265" spans="1:32" x14ac:dyDescent="0.2">
      <c r="A265" s="10"/>
      <c r="B265" s="10"/>
      <c r="C265" s="10"/>
      <c r="D265" s="10"/>
      <c r="E265" s="152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</row>
    <row r="266" spans="1:32" x14ac:dyDescent="0.2">
      <c r="A266" s="10"/>
      <c r="B266" s="10"/>
      <c r="C266" s="10"/>
      <c r="D266" s="10"/>
      <c r="E266" s="152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</row>
    <row r="267" spans="1:32" x14ac:dyDescent="0.2">
      <c r="A267" s="10"/>
      <c r="B267" s="10"/>
      <c r="C267" s="10"/>
      <c r="D267" s="10"/>
      <c r="E267" s="152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</row>
    <row r="268" spans="1:32" x14ac:dyDescent="0.2">
      <c r="A268" s="10"/>
      <c r="B268" s="10"/>
      <c r="C268" s="10"/>
      <c r="D268" s="10"/>
      <c r="E268" s="152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</row>
    <row r="269" spans="1:32" x14ac:dyDescent="0.2">
      <c r="A269" s="10"/>
      <c r="B269" s="10"/>
      <c r="C269" s="10"/>
      <c r="D269" s="10"/>
      <c r="E269" s="152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</row>
    <row r="270" spans="1:32" x14ac:dyDescent="0.2">
      <c r="A270" s="10"/>
      <c r="B270" s="10"/>
      <c r="C270" s="10"/>
      <c r="D270" s="10"/>
      <c r="E270" s="152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</row>
    <row r="271" spans="1:32" x14ac:dyDescent="0.2">
      <c r="A271" s="10"/>
      <c r="B271" s="10"/>
      <c r="C271" s="10"/>
      <c r="D271" s="10"/>
      <c r="E271" s="152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</row>
    <row r="272" spans="1:32" x14ac:dyDescent="0.2">
      <c r="A272" s="10"/>
      <c r="B272" s="10"/>
      <c r="C272" s="10"/>
      <c r="D272" s="10"/>
      <c r="E272" s="152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</row>
    <row r="273" spans="1:32" x14ac:dyDescent="0.2">
      <c r="A273" s="10"/>
      <c r="B273" s="10"/>
      <c r="C273" s="10"/>
      <c r="D273" s="10"/>
      <c r="E273" s="152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</row>
    <row r="274" spans="1:32" x14ac:dyDescent="0.2">
      <c r="A274" s="10"/>
      <c r="B274" s="10"/>
      <c r="C274" s="10"/>
      <c r="D274" s="10"/>
      <c r="E274" s="152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</row>
    <row r="275" spans="1:32" x14ac:dyDescent="0.2">
      <c r="A275" s="10"/>
      <c r="B275" s="10"/>
      <c r="C275" s="10"/>
      <c r="D275" s="10"/>
      <c r="E275" s="152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</row>
    <row r="276" spans="1:32" x14ac:dyDescent="0.2">
      <c r="A276" s="10"/>
      <c r="B276" s="10"/>
      <c r="C276" s="10"/>
      <c r="D276" s="10"/>
      <c r="E276" s="152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</row>
    <row r="277" spans="1:32" x14ac:dyDescent="0.2">
      <c r="A277" s="10"/>
      <c r="B277" s="10"/>
      <c r="C277" s="10"/>
      <c r="D277" s="10"/>
      <c r="E277" s="152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</row>
    <row r="278" spans="1:32" x14ac:dyDescent="0.2">
      <c r="A278" s="10"/>
      <c r="B278" s="10"/>
      <c r="C278" s="10"/>
      <c r="D278" s="10"/>
      <c r="E278" s="152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</row>
    <row r="279" spans="1:32" x14ac:dyDescent="0.2">
      <c r="A279" s="10"/>
      <c r="B279" s="10"/>
      <c r="C279" s="10"/>
      <c r="D279" s="10"/>
      <c r="E279" s="152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</row>
    <row r="280" spans="1:32" x14ac:dyDescent="0.2">
      <c r="A280" s="10"/>
      <c r="B280" s="10"/>
      <c r="C280" s="10"/>
      <c r="D280" s="10"/>
      <c r="E280" s="152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</row>
    <row r="281" spans="1:32" x14ac:dyDescent="0.2">
      <c r="A281" s="10"/>
      <c r="B281" s="10"/>
      <c r="C281" s="10"/>
      <c r="D281" s="10"/>
      <c r="E281" s="152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</row>
    <row r="282" spans="1:32" x14ac:dyDescent="0.2">
      <c r="A282" s="10"/>
      <c r="B282" s="10"/>
      <c r="C282" s="10"/>
      <c r="D282" s="10"/>
      <c r="E282" s="152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</row>
    <row r="283" spans="1:32" x14ac:dyDescent="0.2">
      <c r="A283" s="10"/>
      <c r="B283" s="10"/>
      <c r="C283" s="10"/>
      <c r="D283" s="10"/>
      <c r="E283" s="152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</row>
    <row r="284" spans="1:32" x14ac:dyDescent="0.2">
      <c r="A284" s="10"/>
      <c r="B284" s="10"/>
      <c r="C284" s="10"/>
      <c r="D284" s="10"/>
      <c r="E284" s="152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</row>
    <row r="285" spans="1:32" x14ac:dyDescent="0.2">
      <c r="A285" s="10"/>
      <c r="B285" s="10"/>
      <c r="C285" s="10"/>
      <c r="D285" s="10"/>
      <c r="E285" s="152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</row>
    <row r="286" spans="1:32" x14ac:dyDescent="0.2">
      <c r="A286" s="10"/>
      <c r="B286" s="10"/>
      <c r="C286" s="10"/>
      <c r="D286" s="10"/>
      <c r="E286" s="152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</row>
    <row r="287" spans="1:32" x14ac:dyDescent="0.2">
      <c r="A287" s="10"/>
      <c r="B287" s="10"/>
      <c r="C287" s="10"/>
      <c r="D287" s="10"/>
      <c r="E287" s="152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</row>
    <row r="288" spans="1:32" x14ac:dyDescent="0.2">
      <c r="A288" s="10"/>
      <c r="B288" s="10"/>
      <c r="C288" s="10"/>
      <c r="D288" s="10"/>
      <c r="E288" s="152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</row>
    <row r="289" spans="1:32" x14ac:dyDescent="0.2">
      <c r="A289" s="10"/>
      <c r="B289" s="10"/>
      <c r="C289" s="10"/>
      <c r="D289" s="10"/>
      <c r="E289" s="152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</row>
    <row r="290" spans="1:32" x14ac:dyDescent="0.2">
      <c r="A290" s="10"/>
      <c r="B290" s="10"/>
      <c r="C290" s="10"/>
      <c r="D290" s="10"/>
      <c r="E290" s="152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</row>
    <row r="291" spans="1:32" x14ac:dyDescent="0.2">
      <c r="A291" s="10"/>
      <c r="B291" s="10"/>
      <c r="C291" s="10"/>
      <c r="D291" s="10"/>
      <c r="E291" s="152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</row>
    <row r="292" spans="1:32" x14ac:dyDescent="0.2">
      <c r="A292" s="10"/>
      <c r="B292" s="10"/>
      <c r="C292" s="10"/>
      <c r="D292" s="10"/>
      <c r="E292" s="152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</row>
    <row r="293" spans="1:32" x14ac:dyDescent="0.2">
      <c r="A293" s="10"/>
      <c r="B293" s="10"/>
      <c r="C293" s="10"/>
      <c r="D293" s="10"/>
      <c r="E293" s="152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</row>
    <row r="294" spans="1:32" x14ac:dyDescent="0.2">
      <c r="A294" s="10"/>
      <c r="B294" s="10"/>
      <c r="C294" s="10"/>
      <c r="D294" s="10"/>
      <c r="E294" s="152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</row>
    <row r="295" spans="1:32" x14ac:dyDescent="0.2">
      <c r="A295" s="10"/>
      <c r="B295" s="10"/>
      <c r="C295" s="10"/>
      <c r="D295" s="10"/>
      <c r="E295" s="152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</row>
    <row r="296" spans="1:32" x14ac:dyDescent="0.2">
      <c r="A296" s="10"/>
      <c r="B296" s="10"/>
      <c r="C296" s="10"/>
      <c r="D296" s="10"/>
      <c r="E296" s="152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</row>
    <row r="297" spans="1:32" x14ac:dyDescent="0.2">
      <c r="A297" s="10"/>
      <c r="B297" s="10"/>
      <c r="C297" s="10"/>
      <c r="D297" s="10"/>
      <c r="E297" s="152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</row>
    <row r="298" spans="1:32" x14ac:dyDescent="0.2">
      <c r="A298" s="10"/>
      <c r="B298" s="10"/>
      <c r="C298" s="10"/>
      <c r="D298" s="10"/>
      <c r="E298" s="152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</row>
    <row r="299" spans="1:32" x14ac:dyDescent="0.2">
      <c r="A299" s="10"/>
      <c r="B299" s="10"/>
      <c r="C299" s="10"/>
      <c r="D299" s="10"/>
      <c r="E299" s="152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</row>
    <row r="300" spans="1:32" x14ac:dyDescent="0.2">
      <c r="A300" s="10"/>
      <c r="B300" s="10"/>
      <c r="C300" s="10"/>
      <c r="D300" s="10"/>
      <c r="E300" s="152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</row>
    <row r="301" spans="1:32" x14ac:dyDescent="0.2">
      <c r="A301" s="10"/>
      <c r="B301" s="10"/>
      <c r="C301" s="10"/>
      <c r="D301" s="10"/>
      <c r="E301" s="152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</row>
    <row r="302" spans="1:32" x14ac:dyDescent="0.2">
      <c r="A302" s="10"/>
      <c r="B302" s="10"/>
      <c r="C302" s="10"/>
      <c r="D302" s="10"/>
      <c r="E302" s="152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</row>
    <row r="303" spans="1:32" x14ac:dyDescent="0.2">
      <c r="A303" s="10"/>
      <c r="B303" s="10"/>
      <c r="C303" s="10"/>
      <c r="D303" s="10"/>
      <c r="E303" s="152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</row>
    <row r="304" spans="1:32" x14ac:dyDescent="0.2">
      <c r="A304" s="10"/>
      <c r="B304" s="10"/>
      <c r="C304" s="10"/>
      <c r="D304" s="10"/>
      <c r="E304" s="152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</row>
    <row r="305" spans="1:32" x14ac:dyDescent="0.2">
      <c r="A305" s="10"/>
      <c r="B305" s="10"/>
      <c r="C305" s="10"/>
      <c r="D305" s="10"/>
      <c r="E305" s="152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</row>
    <row r="306" spans="1:32" x14ac:dyDescent="0.2">
      <c r="A306" s="10"/>
      <c r="B306" s="10"/>
      <c r="C306" s="10"/>
      <c r="D306" s="10"/>
      <c r="E306" s="152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</row>
    <row r="307" spans="1:32" x14ac:dyDescent="0.2">
      <c r="A307" s="10"/>
      <c r="B307" s="10"/>
      <c r="C307" s="10"/>
      <c r="D307" s="10"/>
      <c r="E307" s="152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</row>
  </sheetData>
  <mergeCells count="344">
    <mergeCell ref="AJ38:AK38"/>
    <mergeCell ref="AJ48:AK48"/>
    <mergeCell ref="AJ49:AK49"/>
    <mergeCell ref="AJ50:AK50"/>
    <mergeCell ref="AJ51:AK51"/>
    <mergeCell ref="AJ52:AK52"/>
    <mergeCell ref="AJ53:AK53"/>
    <mergeCell ref="AJ54:AK54"/>
    <mergeCell ref="AJ39:AK39"/>
    <mergeCell ref="AJ40:AK40"/>
    <mergeCell ref="AJ41:AK41"/>
    <mergeCell ref="AJ42:AK42"/>
    <mergeCell ref="AJ43:AK43"/>
    <mergeCell ref="AJ44:AK44"/>
    <mergeCell ref="AJ45:AK45"/>
    <mergeCell ref="AJ46:AK46"/>
    <mergeCell ref="AJ47:AK47"/>
    <mergeCell ref="AJ29:AK29"/>
    <mergeCell ref="AJ30:AK30"/>
    <mergeCell ref="AJ31:AK31"/>
    <mergeCell ref="AJ32:AK32"/>
    <mergeCell ref="AJ33:AK33"/>
    <mergeCell ref="AJ34:AK34"/>
    <mergeCell ref="AJ35:AK35"/>
    <mergeCell ref="AJ36:AK36"/>
    <mergeCell ref="AJ37:AK37"/>
    <mergeCell ref="AJ20:AK20"/>
    <mergeCell ref="AJ21:AK21"/>
    <mergeCell ref="AJ22:AK22"/>
    <mergeCell ref="AJ23:AK23"/>
    <mergeCell ref="AJ24:AK24"/>
    <mergeCell ref="AJ25:AK25"/>
    <mergeCell ref="AJ26:AK26"/>
    <mergeCell ref="AJ27:AK27"/>
    <mergeCell ref="AJ28:AK28"/>
    <mergeCell ref="AJ12:AK12"/>
    <mergeCell ref="AJ13:AK13"/>
    <mergeCell ref="AJ14:AK14"/>
    <mergeCell ref="AJ15:AK15"/>
    <mergeCell ref="AJ16:AK16"/>
    <mergeCell ref="AJ17:AK17"/>
    <mergeCell ref="AJ18:AK18"/>
    <mergeCell ref="AJ19:AK19"/>
    <mergeCell ref="AH14:AI14"/>
    <mergeCell ref="AH15:AI15"/>
    <mergeCell ref="AH16:AI16"/>
    <mergeCell ref="AH12:AI12"/>
    <mergeCell ref="AH13:AI13"/>
    <mergeCell ref="Q6:AF7"/>
    <mergeCell ref="AH3:AK4"/>
    <mergeCell ref="AJ5:AK5"/>
    <mergeCell ref="AJ6:AK6"/>
    <mergeCell ref="AJ7:AK7"/>
    <mergeCell ref="AJ8:AK8"/>
    <mergeCell ref="AJ9:AK9"/>
    <mergeCell ref="AJ10:AK10"/>
    <mergeCell ref="AJ11:AK11"/>
    <mergeCell ref="AE8:AF9"/>
    <mergeCell ref="AH5:AI5"/>
    <mergeCell ref="AH6:AI6"/>
    <mergeCell ref="AH7:AI7"/>
    <mergeCell ref="AH8:AI8"/>
    <mergeCell ref="AH9:AI9"/>
    <mergeCell ref="AH10:AI10"/>
    <mergeCell ref="AH11:AI11"/>
    <mergeCell ref="AH23:AI23"/>
    <mergeCell ref="AH24:AI24"/>
    <mergeCell ref="AH25:AI25"/>
    <mergeCell ref="AH26:AI26"/>
    <mergeCell ref="AH27:AI27"/>
    <mergeCell ref="AH28:AI28"/>
    <mergeCell ref="W10:X11"/>
    <mergeCell ref="W8:X9"/>
    <mergeCell ref="AB14:AC15"/>
    <mergeCell ref="AH17:AI17"/>
    <mergeCell ref="AH18:AI18"/>
    <mergeCell ref="AH19:AI19"/>
    <mergeCell ref="W12:X13"/>
    <mergeCell ref="Y12:AD13"/>
    <mergeCell ref="Y10:AD11"/>
    <mergeCell ref="Y8:AD9"/>
    <mergeCell ref="A10:B10"/>
    <mergeCell ref="C10:D10"/>
    <mergeCell ref="A11:B11"/>
    <mergeCell ref="C11:D11"/>
    <mergeCell ref="AH41:AI41"/>
    <mergeCell ref="AH42:AI42"/>
    <mergeCell ref="AH43:AI43"/>
    <mergeCell ref="AH44:AI44"/>
    <mergeCell ref="AH45:AI45"/>
    <mergeCell ref="AH35:AI35"/>
    <mergeCell ref="AH36:AI36"/>
    <mergeCell ref="AH37:AI37"/>
    <mergeCell ref="AH38:AI38"/>
    <mergeCell ref="AH39:AI39"/>
    <mergeCell ref="AH40:AI40"/>
    <mergeCell ref="AH29:AI29"/>
    <mergeCell ref="AH30:AI30"/>
    <mergeCell ref="AH31:AI31"/>
    <mergeCell ref="AH32:AI32"/>
    <mergeCell ref="AH33:AI33"/>
    <mergeCell ref="AH34:AI34"/>
    <mergeCell ref="AH20:AI20"/>
    <mergeCell ref="AH21:AI21"/>
    <mergeCell ref="AH22:AI22"/>
    <mergeCell ref="A3:D4"/>
    <mergeCell ref="A5:B5"/>
    <mergeCell ref="A6:B6"/>
    <mergeCell ref="C6:D6"/>
    <mergeCell ref="A7:B7"/>
    <mergeCell ref="C7:D7"/>
    <mergeCell ref="A8:B8"/>
    <mergeCell ref="C8:D8"/>
    <mergeCell ref="A9:B9"/>
    <mergeCell ref="C9:D9"/>
    <mergeCell ref="C5:D5"/>
    <mergeCell ref="F25:K26"/>
    <mergeCell ref="F23:K24"/>
    <mergeCell ref="F21:K22"/>
    <mergeCell ref="Y23:AF24"/>
    <mergeCell ref="Q25:X26"/>
    <mergeCell ref="L27:M28"/>
    <mergeCell ref="L25:M26"/>
    <mergeCell ref="F19:K20"/>
    <mergeCell ref="U16:V17"/>
    <mergeCell ref="Y25:AF26"/>
    <mergeCell ref="AB16:AC17"/>
    <mergeCell ref="Y19:AF20"/>
    <mergeCell ref="Q19:X20"/>
    <mergeCell ref="Q21:X22"/>
    <mergeCell ref="Y21:AF22"/>
    <mergeCell ref="Q23:X24"/>
    <mergeCell ref="Q27:X28"/>
    <mergeCell ref="Y27:AF28"/>
    <mergeCell ref="F27:K28"/>
    <mergeCell ref="Q12:V13"/>
    <mergeCell ref="Q10:V11"/>
    <mergeCell ref="Q8:V9"/>
    <mergeCell ref="AE12:AF13"/>
    <mergeCell ref="AE10:AF11"/>
    <mergeCell ref="Q14:AA15"/>
    <mergeCell ref="AD14:AF15"/>
    <mergeCell ref="AA35:AF36"/>
    <mergeCell ref="Q16:T17"/>
    <mergeCell ref="O32:Q32"/>
    <mergeCell ref="R32:T32"/>
    <mergeCell ref="U32:W32"/>
    <mergeCell ref="X32:Z32"/>
    <mergeCell ref="N27:O28"/>
    <mergeCell ref="N25:O26"/>
    <mergeCell ref="L29:O30"/>
    <mergeCell ref="L23:M24"/>
    <mergeCell ref="N23:O24"/>
    <mergeCell ref="L21:M22"/>
    <mergeCell ref="N21:O22"/>
    <mergeCell ref="L19:M20"/>
    <mergeCell ref="N19:O20"/>
    <mergeCell ref="AD16:AF17"/>
    <mergeCell ref="W16:AA17"/>
    <mergeCell ref="L35:N36"/>
    <mergeCell ref="AA33:AF34"/>
    <mergeCell ref="F35:K36"/>
    <mergeCell ref="O35:Q36"/>
    <mergeCell ref="R35:T36"/>
    <mergeCell ref="F52:N53"/>
    <mergeCell ref="O52:T53"/>
    <mergeCell ref="U52:AF53"/>
    <mergeCell ref="F50:N51"/>
    <mergeCell ref="O50:T51"/>
    <mergeCell ref="U50:AF51"/>
    <mergeCell ref="F48:N49"/>
    <mergeCell ref="O48:T49"/>
    <mergeCell ref="U48:AF49"/>
    <mergeCell ref="F39:K39"/>
    <mergeCell ref="L39:N39"/>
    <mergeCell ref="O39:Q39"/>
    <mergeCell ref="U35:W36"/>
    <mergeCell ref="X35:Z36"/>
    <mergeCell ref="O40:Q41"/>
    <mergeCell ref="L40:N41"/>
    <mergeCell ref="F40:K41"/>
    <mergeCell ref="R40:W41"/>
    <mergeCell ref="R39:W39"/>
    <mergeCell ref="Q29:X30"/>
    <mergeCell ref="Y29:AF30"/>
    <mergeCell ref="F33:K34"/>
    <mergeCell ref="L33:N34"/>
    <mergeCell ref="O33:Q34"/>
    <mergeCell ref="R33:T34"/>
    <mergeCell ref="U33:W34"/>
    <mergeCell ref="X33:Z34"/>
    <mergeCell ref="F32:K32"/>
    <mergeCell ref="AA32:AF32"/>
    <mergeCell ref="L32:N32"/>
    <mergeCell ref="F29:K30"/>
    <mergeCell ref="AH53:AI53"/>
    <mergeCell ref="AH54:AI54"/>
    <mergeCell ref="AH51:AI51"/>
    <mergeCell ref="AH52:AI52"/>
    <mergeCell ref="F46:N47"/>
    <mergeCell ref="O46:T47"/>
    <mergeCell ref="U46:AF47"/>
    <mergeCell ref="F43:N43"/>
    <mergeCell ref="O43:T43"/>
    <mergeCell ref="U43:AF43"/>
    <mergeCell ref="AH47:AI47"/>
    <mergeCell ref="AH48:AI48"/>
    <mergeCell ref="AH49:AI49"/>
    <mergeCell ref="AH50:AI50"/>
    <mergeCell ref="U44:AF45"/>
    <mergeCell ref="O44:T45"/>
    <mergeCell ref="F44:N45"/>
    <mergeCell ref="F54:N55"/>
    <mergeCell ref="AH46:AI46"/>
    <mergeCell ref="AD39:AF41"/>
    <mergeCell ref="Y39:AC41"/>
    <mergeCell ref="A42:B42"/>
    <mergeCell ref="C42:D42"/>
    <mergeCell ref="A43:B43"/>
    <mergeCell ref="C43:D43"/>
    <mergeCell ref="A44:B44"/>
    <mergeCell ref="C44:D44"/>
    <mergeCell ref="A45:B45"/>
    <mergeCell ref="C45:D45"/>
    <mergeCell ref="A70:M71"/>
    <mergeCell ref="A72:M73"/>
    <mergeCell ref="N72:AK73"/>
    <mergeCell ref="A74:M75"/>
    <mergeCell ref="N74:AK75"/>
    <mergeCell ref="O54:T55"/>
    <mergeCell ref="U54:AF55"/>
    <mergeCell ref="AH55:AI55"/>
    <mergeCell ref="A57:M58"/>
    <mergeCell ref="A59:M60"/>
    <mergeCell ref="N59:Z60"/>
    <mergeCell ref="AA59:AE60"/>
    <mergeCell ref="AF59:AK60"/>
    <mergeCell ref="A61:Z68"/>
    <mergeCell ref="AA61:AE62"/>
    <mergeCell ref="AF61:AK62"/>
    <mergeCell ref="AA63:AE64"/>
    <mergeCell ref="AF63:AK64"/>
    <mergeCell ref="AA65:AE66"/>
    <mergeCell ref="AF65:AK66"/>
    <mergeCell ref="AA67:AE68"/>
    <mergeCell ref="AF67:AK68"/>
    <mergeCell ref="A55:B55"/>
    <mergeCell ref="C55:D55"/>
    <mergeCell ref="A109:AK110"/>
    <mergeCell ref="A76:M77"/>
    <mergeCell ref="N76:AK77"/>
    <mergeCell ref="A79:M80"/>
    <mergeCell ref="A81:AK82"/>
    <mergeCell ref="A83:AK84"/>
    <mergeCell ref="A85:AK86"/>
    <mergeCell ref="A87:AK88"/>
    <mergeCell ref="A89:AK90"/>
    <mergeCell ref="A91:AK92"/>
    <mergeCell ref="A93:AK94"/>
    <mergeCell ref="A95:AK96"/>
    <mergeCell ref="A97:AK98"/>
    <mergeCell ref="A99:AK100"/>
    <mergeCell ref="A101:AK102"/>
    <mergeCell ref="A103:AK104"/>
    <mergeCell ref="A105:AK106"/>
    <mergeCell ref="A107:AK108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C31:D31"/>
    <mergeCell ref="A49:B49"/>
    <mergeCell ref="C49:D49"/>
    <mergeCell ref="A50:B50"/>
    <mergeCell ref="C50:D50"/>
    <mergeCell ref="C34:D34"/>
    <mergeCell ref="A35:B35"/>
    <mergeCell ref="C35:D35"/>
    <mergeCell ref="A36:B36"/>
    <mergeCell ref="C36:D36"/>
    <mergeCell ref="A32:B32"/>
    <mergeCell ref="C32:D32"/>
    <mergeCell ref="A33:B33"/>
    <mergeCell ref="C33:D33"/>
    <mergeCell ref="A34:B34"/>
    <mergeCell ref="A51:B51"/>
    <mergeCell ref="C51:D51"/>
    <mergeCell ref="A52:B52"/>
    <mergeCell ref="C52:D52"/>
    <mergeCell ref="A53:B53"/>
    <mergeCell ref="C53:D53"/>
    <mergeCell ref="A54:B54"/>
    <mergeCell ref="C54:D54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6:B46"/>
    <mergeCell ref="C46:D46"/>
    <mergeCell ref="A47:B47"/>
    <mergeCell ref="C47:D47"/>
    <mergeCell ref="A48:B48"/>
    <mergeCell ref="C48:D48"/>
  </mergeCells>
  <conditionalFormatting sqref="AM25">
    <cfRule type="cellIs" dxfId="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BI295"/>
  <sheetViews>
    <sheetView tabSelected="1" workbookViewId="0">
      <selection activeCell="AS5" sqref="AS5"/>
    </sheetView>
  </sheetViews>
  <sheetFormatPr defaultRowHeight="12.75" x14ac:dyDescent="0.2"/>
  <cols>
    <col min="1" max="4" width="2.42578125" style="4" customWidth="1"/>
    <col min="5" max="5" width="1.7109375" style="5" customWidth="1"/>
    <col min="6" max="32" width="2.85546875" style="4" customWidth="1"/>
    <col min="33" max="33" width="1.7109375" style="4" customWidth="1"/>
    <col min="34" max="37" width="2.42578125" style="4" customWidth="1"/>
    <col min="38" max="38" width="1.7109375" style="4" customWidth="1"/>
    <col min="39" max="39" width="2.85546875" style="4" customWidth="1"/>
    <col min="40" max="41" width="12.7109375" style="4" customWidth="1"/>
    <col min="42" max="42" width="2.85546875" style="191" customWidth="1"/>
    <col min="43" max="43" width="12.7109375" style="191" customWidth="1"/>
    <col min="44" max="44" width="13.7109375" style="191" customWidth="1"/>
    <col min="45" max="45" width="9.140625" style="191" customWidth="1"/>
    <col min="46" max="47" width="9.140625" style="191"/>
    <col min="48" max="248" width="9.140625" style="4"/>
    <col min="249" max="294" width="2.7109375" style="4" customWidth="1"/>
    <col min="295" max="504" width="9.140625" style="4"/>
    <col min="505" max="550" width="2.7109375" style="4" customWidth="1"/>
    <col min="551" max="760" width="9.140625" style="4"/>
    <col min="761" max="806" width="2.7109375" style="4" customWidth="1"/>
    <col min="807" max="1016" width="9.140625" style="4"/>
    <col min="1017" max="1062" width="2.7109375" style="4" customWidth="1"/>
    <col min="1063" max="1272" width="9.140625" style="4"/>
    <col min="1273" max="1318" width="2.7109375" style="4" customWidth="1"/>
    <col min="1319" max="1528" width="9.140625" style="4"/>
    <col min="1529" max="1574" width="2.7109375" style="4" customWidth="1"/>
    <col min="1575" max="1784" width="9.140625" style="4"/>
    <col min="1785" max="1830" width="2.7109375" style="4" customWidth="1"/>
    <col min="1831" max="2040" width="9.140625" style="4"/>
    <col min="2041" max="2086" width="2.7109375" style="4" customWidth="1"/>
    <col min="2087" max="2296" width="9.140625" style="4"/>
    <col min="2297" max="2342" width="2.7109375" style="4" customWidth="1"/>
    <col min="2343" max="2552" width="9.140625" style="4"/>
    <col min="2553" max="2598" width="2.7109375" style="4" customWidth="1"/>
    <col min="2599" max="2808" width="9.140625" style="4"/>
    <col min="2809" max="2854" width="2.7109375" style="4" customWidth="1"/>
    <col min="2855" max="3064" width="9.140625" style="4"/>
    <col min="3065" max="3110" width="2.7109375" style="4" customWidth="1"/>
    <col min="3111" max="3320" width="9.140625" style="4"/>
    <col min="3321" max="3366" width="2.7109375" style="4" customWidth="1"/>
    <col min="3367" max="3576" width="9.140625" style="4"/>
    <col min="3577" max="3622" width="2.7109375" style="4" customWidth="1"/>
    <col min="3623" max="3832" width="9.140625" style="4"/>
    <col min="3833" max="3878" width="2.7109375" style="4" customWidth="1"/>
    <col min="3879" max="4088" width="9.140625" style="4"/>
    <col min="4089" max="4134" width="2.7109375" style="4" customWidth="1"/>
    <col min="4135" max="4344" width="9.140625" style="4"/>
    <col min="4345" max="4390" width="2.7109375" style="4" customWidth="1"/>
    <col min="4391" max="4600" width="9.140625" style="4"/>
    <col min="4601" max="4646" width="2.7109375" style="4" customWidth="1"/>
    <col min="4647" max="4856" width="9.140625" style="4"/>
    <col min="4857" max="4902" width="2.7109375" style="4" customWidth="1"/>
    <col min="4903" max="5112" width="9.140625" style="4"/>
    <col min="5113" max="5158" width="2.7109375" style="4" customWidth="1"/>
    <col min="5159" max="5368" width="9.140625" style="4"/>
    <col min="5369" max="5414" width="2.7109375" style="4" customWidth="1"/>
    <col min="5415" max="5624" width="9.140625" style="4"/>
    <col min="5625" max="5670" width="2.7109375" style="4" customWidth="1"/>
    <col min="5671" max="5880" width="9.140625" style="4"/>
    <col min="5881" max="5926" width="2.7109375" style="4" customWidth="1"/>
    <col min="5927" max="6136" width="9.140625" style="4"/>
    <col min="6137" max="6182" width="2.7109375" style="4" customWidth="1"/>
    <col min="6183" max="6392" width="9.140625" style="4"/>
    <col min="6393" max="6438" width="2.7109375" style="4" customWidth="1"/>
    <col min="6439" max="6648" width="9.140625" style="4"/>
    <col min="6649" max="6694" width="2.7109375" style="4" customWidth="1"/>
    <col min="6695" max="6904" width="9.140625" style="4"/>
    <col min="6905" max="6950" width="2.7109375" style="4" customWidth="1"/>
    <col min="6951" max="7160" width="9.140625" style="4"/>
    <col min="7161" max="7206" width="2.7109375" style="4" customWidth="1"/>
    <col min="7207" max="7416" width="9.140625" style="4"/>
    <col min="7417" max="7462" width="2.7109375" style="4" customWidth="1"/>
    <col min="7463" max="7672" width="9.140625" style="4"/>
    <col min="7673" max="7718" width="2.7109375" style="4" customWidth="1"/>
    <col min="7719" max="7928" width="9.140625" style="4"/>
    <col min="7929" max="7974" width="2.7109375" style="4" customWidth="1"/>
    <col min="7975" max="8184" width="9.140625" style="4"/>
    <col min="8185" max="8230" width="2.7109375" style="4" customWidth="1"/>
    <col min="8231" max="8440" width="9.140625" style="4"/>
    <col min="8441" max="8486" width="2.7109375" style="4" customWidth="1"/>
    <col min="8487" max="8696" width="9.140625" style="4"/>
    <col min="8697" max="8742" width="2.7109375" style="4" customWidth="1"/>
    <col min="8743" max="8952" width="9.140625" style="4"/>
    <col min="8953" max="8998" width="2.7109375" style="4" customWidth="1"/>
    <col min="8999" max="9208" width="9.140625" style="4"/>
    <col min="9209" max="9254" width="2.7109375" style="4" customWidth="1"/>
    <col min="9255" max="9464" width="9.140625" style="4"/>
    <col min="9465" max="9510" width="2.7109375" style="4" customWidth="1"/>
    <col min="9511" max="9720" width="9.140625" style="4"/>
    <col min="9721" max="9766" width="2.7109375" style="4" customWidth="1"/>
    <col min="9767" max="9976" width="9.140625" style="4"/>
    <col min="9977" max="10022" width="2.7109375" style="4" customWidth="1"/>
    <col min="10023" max="10232" width="9.140625" style="4"/>
    <col min="10233" max="10278" width="2.7109375" style="4" customWidth="1"/>
    <col min="10279" max="10488" width="9.140625" style="4"/>
    <col min="10489" max="10534" width="2.7109375" style="4" customWidth="1"/>
    <col min="10535" max="10744" width="9.140625" style="4"/>
    <col min="10745" max="10790" width="2.7109375" style="4" customWidth="1"/>
    <col min="10791" max="11000" width="9.140625" style="4"/>
    <col min="11001" max="11046" width="2.7109375" style="4" customWidth="1"/>
    <col min="11047" max="11256" width="9.140625" style="4"/>
    <col min="11257" max="11302" width="2.7109375" style="4" customWidth="1"/>
    <col min="11303" max="11512" width="9.140625" style="4"/>
    <col min="11513" max="11558" width="2.7109375" style="4" customWidth="1"/>
    <col min="11559" max="11768" width="9.140625" style="4"/>
    <col min="11769" max="11814" width="2.7109375" style="4" customWidth="1"/>
    <col min="11815" max="12024" width="9.140625" style="4"/>
    <col min="12025" max="12070" width="2.7109375" style="4" customWidth="1"/>
    <col min="12071" max="12280" width="9.140625" style="4"/>
    <col min="12281" max="12326" width="2.7109375" style="4" customWidth="1"/>
    <col min="12327" max="12536" width="9.140625" style="4"/>
    <col min="12537" max="12582" width="2.7109375" style="4" customWidth="1"/>
    <col min="12583" max="12792" width="9.140625" style="4"/>
    <col min="12793" max="12838" width="2.7109375" style="4" customWidth="1"/>
    <col min="12839" max="13048" width="9.140625" style="4"/>
    <col min="13049" max="13094" width="2.7109375" style="4" customWidth="1"/>
    <col min="13095" max="13304" width="9.140625" style="4"/>
    <col min="13305" max="13350" width="2.7109375" style="4" customWidth="1"/>
    <col min="13351" max="13560" width="9.140625" style="4"/>
    <col min="13561" max="13606" width="2.7109375" style="4" customWidth="1"/>
    <col min="13607" max="13816" width="9.140625" style="4"/>
    <col min="13817" max="13862" width="2.7109375" style="4" customWidth="1"/>
    <col min="13863" max="14072" width="9.140625" style="4"/>
    <col min="14073" max="14118" width="2.7109375" style="4" customWidth="1"/>
    <col min="14119" max="14328" width="9.140625" style="4"/>
    <col min="14329" max="14374" width="2.7109375" style="4" customWidth="1"/>
    <col min="14375" max="14584" width="9.140625" style="4"/>
    <col min="14585" max="14630" width="2.7109375" style="4" customWidth="1"/>
    <col min="14631" max="14840" width="9.140625" style="4"/>
    <col min="14841" max="14886" width="2.7109375" style="4" customWidth="1"/>
    <col min="14887" max="15096" width="9.140625" style="4"/>
    <col min="15097" max="15142" width="2.7109375" style="4" customWidth="1"/>
    <col min="15143" max="15352" width="9.140625" style="4"/>
    <col min="15353" max="15398" width="2.7109375" style="4" customWidth="1"/>
    <col min="15399" max="15608" width="9.140625" style="4"/>
    <col min="15609" max="15654" width="2.7109375" style="4" customWidth="1"/>
    <col min="15655" max="15864" width="9.140625" style="4"/>
    <col min="15865" max="15910" width="2.7109375" style="4" customWidth="1"/>
    <col min="15911" max="16120" width="9.140625" style="4"/>
    <col min="16121" max="16166" width="2.7109375" style="4" customWidth="1"/>
    <col min="16167" max="16384" width="9.140625" style="4"/>
  </cols>
  <sheetData>
    <row r="1" spans="1:61" ht="1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1"/>
      <c r="AD1" s="1"/>
      <c r="AE1" s="2"/>
      <c r="AF1" s="2"/>
    </row>
    <row r="2" spans="1:61" ht="15" customHeight="1" x14ac:dyDescent="0.2">
      <c r="F2" s="1"/>
      <c r="G2" s="1"/>
      <c r="H2" s="1"/>
      <c r="I2" s="1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149"/>
      <c r="AD2" s="149"/>
      <c r="AE2" s="149"/>
      <c r="AF2" s="149"/>
      <c r="AG2" s="149"/>
      <c r="AM2" s="197"/>
      <c r="AN2" s="408" t="s">
        <v>367</v>
      </c>
      <c r="AO2" s="408"/>
      <c r="AP2" s="198"/>
      <c r="AQ2" s="4"/>
      <c r="AS2" s="159"/>
      <c r="AT2" s="159"/>
      <c r="AU2" s="159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5" customHeight="1" x14ac:dyDescent="0.2">
      <c r="E3" s="150"/>
      <c r="F3" s="1"/>
      <c r="G3" s="1"/>
      <c r="H3" s="1"/>
      <c r="I3" s="1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149"/>
      <c r="AD3" s="149"/>
      <c r="AE3" s="149"/>
      <c r="AF3" s="149"/>
      <c r="AG3" s="149"/>
      <c r="AM3" s="199"/>
      <c r="AN3" s="409"/>
      <c r="AO3" s="409"/>
      <c r="AP3" s="208"/>
      <c r="AQ3" s="140"/>
      <c r="AR3" s="196"/>
      <c r="AS3" s="159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</row>
    <row r="4" spans="1:61" ht="15" customHeight="1" x14ac:dyDescent="0.2">
      <c r="A4" s="358" t="s">
        <v>52</v>
      </c>
      <c r="B4" s="359"/>
      <c r="C4" s="359"/>
      <c r="D4" s="360"/>
      <c r="E4" s="150"/>
      <c r="F4" s="1"/>
      <c r="G4" s="1"/>
      <c r="H4" s="1"/>
      <c r="I4" s="1"/>
      <c r="J4" s="1"/>
      <c r="K4" s="1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358" t="s">
        <v>18</v>
      </c>
      <c r="AI4" s="359"/>
      <c r="AJ4" s="359"/>
      <c r="AK4" s="360"/>
      <c r="AM4" s="199"/>
      <c r="AN4" s="409"/>
      <c r="AO4" s="409"/>
      <c r="AP4" s="208"/>
      <c r="AQ4" s="140"/>
      <c r="AR4" s="196"/>
    </row>
    <row r="5" spans="1:61" ht="15" customHeight="1" x14ac:dyDescent="0.2">
      <c r="A5" s="361"/>
      <c r="B5" s="362"/>
      <c r="C5" s="362"/>
      <c r="D5" s="363"/>
      <c r="E5" s="151"/>
      <c r="F5" s="1"/>
      <c r="G5" s="1"/>
      <c r="H5" s="1"/>
      <c r="I5" s="1"/>
      <c r="J5" s="1"/>
      <c r="K5" s="1"/>
      <c r="AH5" s="361"/>
      <c r="AI5" s="362"/>
      <c r="AJ5" s="362"/>
      <c r="AK5" s="363"/>
      <c r="AM5" s="199"/>
      <c r="AN5" s="200" t="s">
        <v>29</v>
      </c>
      <c r="AO5" s="5"/>
      <c r="AP5" s="201"/>
      <c r="AQ5" s="147"/>
      <c r="AR5" s="196"/>
      <c r="AS5" s="159"/>
    </row>
    <row r="6" spans="1:61" ht="15" customHeight="1" x14ac:dyDescent="0.2">
      <c r="A6" s="373">
        <f>IF(OR(_ZakPovInd=1,_ZakPovInd=5),"",IF(_ZakPovInd=3,10,1))</f>
        <v>10</v>
      </c>
      <c r="B6" s="373"/>
      <c r="C6" s="373">
        <f ca="1">IF(OR(_ZakPovInd=1,_ZakPovInd=5),"",IF(_ZakPovInd=3,IF(A55&lt;_MAG,MIN(A55+10,_MAG),_MAG+10),A55+1))</f>
        <v>460</v>
      </c>
      <c r="D6" s="373"/>
      <c r="E6" s="151"/>
      <c r="F6" s="1"/>
      <c r="G6" s="1"/>
      <c r="H6" s="1"/>
      <c r="I6" s="1"/>
      <c r="J6" s="1"/>
      <c r="K6" s="1"/>
      <c r="Q6" s="404" t="str">
        <f ca="1">CONCATENATE(OFFSET(_RAS,_RasInd-1,0,1,1)," ",IF(_LVL&lt;6,OFFSET(_ZAKPOV,_ZakPovInd-1,0,1,1),OFFSET(_ROZPOV,_ZakPovInd*2+_RozPovInd-3,0,1,1)))</f>
        <v>kroll theurgh</v>
      </c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405"/>
      <c r="AH6" s="292">
        <v>1</v>
      </c>
      <c r="AI6" s="293"/>
      <c r="AJ6" s="292">
        <v>51</v>
      </c>
      <c r="AK6" s="293"/>
      <c r="AM6" s="199"/>
      <c r="AN6" s="140"/>
      <c r="AO6" s="140"/>
      <c r="AP6" s="202"/>
      <c r="AQ6" s="147"/>
      <c r="AR6" s="196"/>
      <c r="AS6" s="159"/>
    </row>
    <row r="7" spans="1:61" ht="15" customHeight="1" x14ac:dyDescent="0.2">
      <c r="A7" s="373">
        <f t="shared" ref="A7:A38" ca="1" si="0">IF(OR(_ZakPovInd=1,_ZakPovInd=5),"",IF(_ZakPovInd=3,IF(A6&lt;_MAG,MIN(A6+10,_MAG),_MAG+10),A6+1))</f>
        <v>20</v>
      </c>
      <c r="B7" s="373"/>
      <c r="C7" s="373">
        <f t="shared" ref="C7:C38" ca="1" si="1">IF(OR(_ZakPovInd=1,_ZakPovInd=5),"",IF(_ZakPovInd=3,IF(C6&lt;_MAG,MIN(C6+10,_MAG),_MAG+10),C6+1))</f>
        <v>460</v>
      </c>
      <c r="D7" s="373"/>
      <c r="E7" s="151"/>
      <c r="F7" s="1"/>
      <c r="G7" s="1"/>
      <c r="H7" s="1"/>
      <c r="I7" s="1"/>
      <c r="J7" s="1"/>
      <c r="K7" s="1"/>
      <c r="Q7" s="406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407"/>
      <c r="AH7" s="292">
        <v>2</v>
      </c>
      <c r="AI7" s="293"/>
      <c r="AJ7" s="292">
        <v>52</v>
      </c>
      <c r="AK7" s="293"/>
      <c r="AM7" s="199"/>
      <c r="AN7" s="5">
        <v>7</v>
      </c>
      <c r="AO7" s="140"/>
      <c r="AP7" s="202"/>
      <c r="AQ7" s="141"/>
      <c r="AR7" s="192"/>
      <c r="AS7" s="192"/>
    </row>
    <row r="8" spans="1:61" ht="15" customHeight="1" x14ac:dyDescent="0.2">
      <c r="A8" s="373">
        <f t="shared" ca="1" si="0"/>
        <v>30</v>
      </c>
      <c r="B8" s="373"/>
      <c r="C8" s="373">
        <f t="shared" ca="1" si="1"/>
        <v>460</v>
      </c>
      <c r="D8" s="373"/>
      <c r="E8" s="151"/>
      <c r="F8" s="1"/>
      <c r="G8" s="1"/>
      <c r="H8" s="1"/>
      <c r="I8" s="1"/>
      <c r="J8" s="1"/>
      <c r="K8" s="1"/>
      <c r="L8" s="6"/>
      <c r="M8" s="6"/>
      <c r="Q8" s="328" t="s">
        <v>310</v>
      </c>
      <c r="R8" s="328"/>
      <c r="S8" s="328"/>
      <c r="T8" s="328"/>
      <c r="U8" s="328"/>
      <c r="V8" s="328"/>
      <c r="W8" s="392" t="str">
        <f>CONCATENATE(_LVL,".")</f>
        <v>8.</v>
      </c>
      <c r="X8" s="392"/>
      <c r="Y8" s="328" t="s">
        <v>17</v>
      </c>
      <c r="Z8" s="328"/>
      <c r="AA8" s="328"/>
      <c r="AB8" s="328"/>
      <c r="AC8" s="328"/>
      <c r="AD8" s="328"/>
      <c r="AE8" s="328"/>
      <c r="AF8" s="328"/>
      <c r="AH8" s="292">
        <v>3</v>
      </c>
      <c r="AI8" s="293"/>
      <c r="AJ8" s="292">
        <v>53</v>
      </c>
      <c r="AK8" s="293"/>
      <c r="AM8" s="199"/>
      <c r="AN8" s="5"/>
      <c r="AO8" s="5"/>
      <c r="AP8" s="203"/>
      <c r="AQ8" s="141"/>
      <c r="AR8" s="192"/>
      <c r="AS8" s="192"/>
    </row>
    <row r="9" spans="1:61" ht="15" customHeight="1" x14ac:dyDescent="0.2">
      <c r="A9" s="373">
        <f t="shared" ca="1" si="0"/>
        <v>40</v>
      </c>
      <c r="B9" s="373"/>
      <c r="C9" s="373">
        <f t="shared" ca="1" si="1"/>
        <v>460</v>
      </c>
      <c r="D9" s="373"/>
      <c r="E9" s="151"/>
      <c r="F9" s="1"/>
      <c r="G9" s="1"/>
      <c r="H9" s="1"/>
      <c r="I9" s="1"/>
      <c r="J9" s="1"/>
      <c r="K9" s="1"/>
      <c r="L9" s="6"/>
      <c r="M9" s="6"/>
      <c r="Q9" s="328"/>
      <c r="R9" s="328"/>
      <c r="S9" s="328"/>
      <c r="T9" s="328"/>
      <c r="U9" s="328"/>
      <c r="V9" s="328"/>
      <c r="W9" s="392"/>
      <c r="X9" s="392"/>
      <c r="Y9" s="328"/>
      <c r="Z9" s="328"/>
      <c r="AA9" s="328"/>
      <c r="AB9" s="328"/>
      <c r="AC9" s="328"/>
      <c r="AD9" s="328"/>
      <c r="AE9" s="328"/>
      <c r="AF9" s="328"/>
      <c r="AH9" s="292">
        <v>4</v>
      </c>
      <c r="AI9" s="293"/>
      <c r="AJ9" s="292">
        <v>54</v>
      </c>
      <c r="AK9" s="293"/>
      <c r="AM9" s="199"/>
      <c r="AN9" s="200" t="s">
        <v>343</v>
      </c>
      <c r="AO9" s="5"/>
      <c r="AP9" s="203"/>
      <c r="AQ9" s="141"/>
      <c r="AR9" s="192"/>
      <c r="AS9" s="192"/>
    </row>
    <row r="10" spans="1:61" ht="15" customHeight="1" x14ac:dyDescent="0.2">
      <c r="A10" s="373">
        <f t="shared" ca="1" si="0"/>
        <v>50</v>
      </c>
      <c r="B10" s="373"/>
      <c r="C10" s="373">
        <f t="shared" ca="1" si="1"/>
        <v>460</v>
      </c>
      <c r="D10" s="373"/>
      <c r="E10" s="151"/>
      <c r="F10" s="1"/>
      <c r="G10" s="1"/>
      <c r="H10" s="1"/>
      <c r="I10" s="1"/>
      <c r="J10" s="1"/>
      <c r="K10" s="1"/>
      <c r="L10" s="6"/>
      <c r="M10" s="6"/>
      <c r="Q10" s="328" t="s">
        <v>311</v>
      </c>
      <c r="R10" s="328"/>
      <c r="S10" s="328"/>
      <c r="T10" s="328"/>
      <c r="U10" s="328"/>
      <c r="V10" s="328"/>
      <c r="W10" s="404">
        <f ca="1">SUMIFS(_MaxZiv,_RasCol,_RasInd,_PovCol,_ZakPovInd)</f>
        <v>67</v>
      </c>
      <c r="X10" s="405"/>
      <c r="Y10" s="366" t="s">
        <v>315</v>
      </c>
      <c r="Z10" s="328"/>
      <c r="AA10" s="328"/>
      <c r="AB10" s="328"/>
      <c r="AC10" s="328"/>
      <c r="AD10" s="328"/>
      <c r="AE10" s="394" t="str">
        <f ca="1">OFFSET(_ObjCol,10*(_ZakPovInd-1)+_RasInd-1,0,1,1)</f>
        <v>9%</v>
      </c>
      <c r="AF10" s="395"/>
      <c r="AH10" s="292">
        <v>5</v>
      </c>
      <c r="AI10" s="293"/>
      <c r="AJ10" s="292">
        <v>55</v>
      </c>
      <c r="AK10" s="293"/>
      <c r="AM10" s="199"/>
      <c r="AN10" s="5"/>
      <c r="AO10" s="5"/>
      <c r="AP10" s="204"/>
      <c r="AQ10" s="141"/>
      <c r="AR10" s="192"/>
      <c r="AS10" s="192"/>
    </row>
    <row r="11" spans="1:61" ht="15" customHeight="1" x14ac:dyDescent="0.2">
      <c r="A11" s="373">
        <f t="shared" ca="1" si="0"/>
        <v>60</v>
      </c>
      <c r="B11" s="373"/>
      <c r="C11" s="373">
        <f t="shared" ca="1" si="1"/>
        <v>460</v>
      </c>
      <c r="D11" s="373"/>
      <c r="E11" s="151"/>
      <c r="F11" s="1"/>
      <c r="G11" s="1"/>
      <c r="H11" s="1"/>
      <c r="I11" s="1"/>
      <c r="J11" s="1"/>
      <c r="K11" s="1"/>
      <c r="L11" s="6"/>
      <c r="M11" s="6"/>
      <c r="Q11" s="328"/>
      <c r="R11" s="328"/>
      <c r="S11" s="328"/>
      <c r="T11" s="328"/>
      <c r="U11" s="328"/>
      <c r="V11" s="328"/>
      <c r="W11" s="406"/>
      <c r="X11" s="407"/>
      <c r="Y11" s="328"/>
      <c r="Z11" s="328"/>
      <c r="AA11" s="328"/>
      <c r="AB11" s="328"/>
      <c r="AC11" s="328"/>
      <c r="AD11" s="328"/>
      <c r="AE11" s="396"/>
      <c r="AF11" s="397"/>
      <c r="AH11" s="292">
        <v>6</v>
      </c>
      <c r="AI11" s="293"/>
      <c r="AJ11" s="292">
        <v>56</v>
      </c>
      <c r="AK11" s="293"/>
      <c r="AM11" s="199"/>
      <c r="AN11" s="5">
        <v>3</v>
      </c>
      <c r="AO11" s="5"/>
      <c r="AP11" s="204"/>
      <c r="AQ11" s="4"/>
    </row>
    <row r="12" spans="1:61" ht="15" customHeight="1" x14ac:dyDescent="0.2">
      <c r="A12" s="373">
        <f t="shared" ca="1" si="0"/>
        <v>70</v>
      </c>
      <c r="B12" s="373"/>
      <c r="C12" s="373">
        <f t="shared" ca="1" si="1"/>
        <v>460</v>
      </c>
      <c r="D12" s="373"/>
      <c r="E12" s="151"/>
      <c r="F12" s="1"/>
      <c r="G12" s="1"/>
      <c r="H12" s="1"/>
      <c r="I12" s="1"/>
      <c r="J12" s="1"/>
      <c r="K12" s="1"/>
      <c r="L12" s="6"/>
      <c r="M12" s="6"/>
      <c r="Q12" s="328" t="s">
        <v>312</v>
      </c>
      <c r="R12" s="328"/>
      <c r="S12" s="328"/>
      <c r="T12" s="328"/>
      <c r="U12" s="328"/>
      <c r="V12" s="328"/>
      <c r="W12" s="393">
        <f ca="1">IF(_ZakPovInd=2,IF(_LVL&lt;6,OFFSET(_MagHranTab,_LVL-1,_INT-6,1,1),IF(_RozPovInd=1,OFFSET(_MagDruidTab,_LVL-6,_INT-6,1,1),IF(_RozPovInd=2,OFFSET(_MagChodTab,_LVL-6,_INT-6,1,1),"???"))),IF(_ZakPovInd=3,IF(_LVL&lt;=9,OFFSET(_MagAlchTab,_LVL-1,_OBR-8,1,1),1200),IF(_ZakPovInd=4,OFFSET(_MagKouzTab,_LVL-1,_INT-8,1,1),"-")))</f>
        <v>450</v>
      </c>
      <c r="X12" s="393"/>
      <c r="Y12" s="366" t="s">
        <v>316</v>
      </c>
      <c r="Z12" s="328"/>
      <c r="AA12" s="328"/>
      <c r="AB12" s="328"/>
      <c r="AC12" s="328"/>
      <c r="AD12" s="328"/>
      <c r="AE12" s="394" t="str">
        <f ca="1">OFFSET(_MechCol,10*(_ZakPovInd-1)+_RasInd-1,0,1,1)</f>
        <v>2%</v>
      </c>
      <c r="AF12" s="395"/>
      <c r="AH12" s="292">
        <v>7</v>
      </c>
      <c r="AI12" s="293"/>
      <c r="AJ12" s="292">
        <v>57</v>
      </c>
      <c r="AK12" s="293"/>
      <c r="AM12" s="199"/>
      <c r="AN12" s="5"/>
      <c r="AO12" s="5"/>
      <c r="AP12" s="204"/>
      <c r="AQ12" s="4"/>
    </row>
    <row r="13" spans="1:61" ht="15" customHeight="1" x14ac:dyDescent="0.2">
      <c r="A13" s="373">
        <f t="shared" ca="1" si="0"/>
        <v>80</v>
      </c>
      <c r="B13" s="373"/>
      <c r="C13" s="373">
        <f t="shared" ca="1" si="1"/>
        <v>460</v>
      </c>
      <c r="D13" s="373"/>
      <c r="E13" s="151"/>
      <c r="F13" s="1"/>
      <c r="G13" s="1"/>
      <c r="H13" s="1"/>
      <c r="I13" s="1"/>
      <c r="J13" s="1"/>
      <c r="K13" s="1"/>
      <c r="L13" s="6"/>
      <c r="M13" s="6"/>
      <c r="N13" s="6"/>
      <c r="P13" s="142"/>
      <c r="Q13" s="328"/>
      <c r="R13" s="328"/>
      <c r="S13" s="328"/>
      <c r="T13" s="328"/>
      <c r="U13" s="328"/>
      <c r="V13" s="328"/>
      <c r="W13" s="393"/>
      <c r="X13" s="393"/>
      <c r="Y13" s="328"/>
      <c r="Z13" s="328"/>
      <c r="AA13" s="328"/>
      <c r="AB13" s="328"/>
      <c r="AC13" s="328"/>
      <c r="AD13" s="328"/>
      <c r="AE13" s="396"/>
      <c r="AF13" s="397"/>
      <c r="AG13" s="141"/>
      <c r="AH13" s="292">
        <v>8</v>
      </c>
      <c r="AI13" s="293"/>
      <c r="AJ13" s="292">
        <v>58</v>
      </c>
      <c r="AK13" s="293"/>
      <c r="AM13" s="199"/>
      <c r="AN13" s="200" t="s">
        <v>365</v>
      </c>
      <c r="AO13" s="5"/>
      <c r="AP13" s="204"/>
      <c r="AQ13" s="4"/>
    </row>
    <row r="14" spans="1:61" ht="15" customHeight="1" x14ac:dyDescent="0.2">
      <c r="A14" s="373">
        <f t="shared" ca="1" si="0"/>
        <v>90</v>
      </c>
      <c r="B14" s="373"/>
      <c r="C14" s="373">
        <f t="shared" ca="1" si="1"/>
        <v>460</v>
      </c>
      <c r="D14" s="373"/>
      <c r="E14" s="151"/>
      <c r="F14" s="1"/>
      <c r="G14" s="1"/>
      <c r="H14" s="1"/>
      <c r="I14" s="1"/>
      <c r="J14" s="1"/>
      <c r="K14" s="1"/>
      <c r="L14" s="7"/>
      <c r="M14" s="7"/>
      <c r="N14" s="7"/>
      <c r="O14" s="7"/>
      <c r="P14" s="7"/>
      <c r="Q14" s="329" t="s">
        <v>320</v>
      </c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64">
        <f ca="1">SUMIFS(_MezVyrCol,_RasCol,_RasInd,_PovCol,_ZakPovInd)</f>
        <v>1</v>
      </c>
      <c r="AC14" s="364"/>
      <c r="AD14" s="388" t="str">
        <f ca="1">IF(AB14=1,"život",IF(AB14&lt;5,"životy","životů"))</f>
        <v>život</v>
      </c>
      <c r="AE14" s="388"/>
      <c r="AF14" s="389"/>
      <c r="AH14" s="292">
        <v>9</v>
      </c>
      <c r="AI14" s="293"/>
      <c r="AJ14" s="292">
        <v>59</v>
      </c>
      <c r="AK14" s="293"/>
      <c r="AM14" s="199"/>
      <c r="AN14" s="5"/>
      <c r="AO14" s="5"/>
      <c r="AP14" s="201"/>
      <c r="AQ14" s="4"/>
    </row>
    <row r="15" spans="1:61" ht="15" customHeight="1" x14ac:dyDescent="0.2">
      <c r="A15" s="373">
        <f t="shared" ca="1" si="0"/>
        <v>100</v>
      </c>
      <c r="B15" s="373"/>
      <c r="C15" s="373">
        <f t="shared" ca="1" si="1"/>
        <v>460</v>
      </c>
      <c r="D15" s="373"/>
      <c r="E15" s="151"/>
      <c r="F15" s="1"/>
      <c r="G15" s="1"/>
      <c r="H15" s="1"/>
      <c r="I15" s="1"/>
      <c r="J15" s="1"/>
      <c r="K15" s="1"/>
      <c r="L15" s="153"/>
      <c r="M15" s="153"/>
      <c r="N15" s="153"/>
      <c r="O15" s="153"/>
      <c r="P15" s="3"/>
      <c r="Q15" s="331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65"/>
      <c r="AC15" s="365"/>
      <c r="AD15" s="390"/>
      <c r="AE15" s="390"/>
      <c r="AF15" s="391"/>
      <c r="AH15" s="292">
        <v>10</v>
      </c>
      <c r="AI15" s="293"/>
      <c r="AJ15" s="292">
        <v>60</v>
      </c>
      <c r="AK15" s="293"/>
      <c r="AM15" s="199"/>
      <c r="AN15" s="5">
        <v>1</v>
      </c>
      <c r="AO15" s="5"/>
      <c r="AP15" s="201"/>
      <c r="AQ15" s="4"/>
    </row>
    <row r="16" spans="1:61" ht="15" customHeight="1" x14ac:dyDescent="0.2">
      <c r="A16" s="373">
        <f t="shared" ca="1" si="0"/>
        <v>110</v>
      </c>
      <c r="B16" s="373"/>
      <c r="C16" s="373">
        <f t="shared" ca="1" si="1"/>
        <v>460</v>
      </c>
      <c r="D16" s="373"/>
      <c r="E16" s="151"/>
      <c r="L16" s="5"/>
      <c r="M16" s="5"/>
      <c r="N16" s="5"/>
      <c r="O16" s="5"/>
      <c r="P16" s="12"/>
      <c r="Q16" s="337" t="s">
        <v>317</v>
      </c>
      <c r="R16" s="338"/>
      <c r="S16" s="338"/>
      <c r="T16" s="338"/>
      <c r="U16" s="263">
        <f ca="1">SUMIFS(_Postih2Col,_RasCol,_RasInd,_PovCol,_ZakPovInd)</f>
        <v>0</v>
      </c>
      <c r="V16" s="263"/>
      <c r="W16" s="301" t="s">
        <v>318</v>
      </c>
      <c r="X16" s="301"/>
      <c r="Y16" s="301"/>
      <c r="Z16" s="301"/>
      <c r="AA16" s="301"/>
      <c r="AB16" s="263">
        <f ca="1">SUMIFS(_Postih1Col,_RasCol,_RasInd,_PovCol,_ZakPovInd)</f>
        <v>22</v>
      </c>
      <c r="AC16" s="263"/>
      <c r="AD16" s="388" t="str">
        <f ca="1">IF(AB16=1,"život",IF(AB16&lt;5,"životy","životů"))</f>
        <v>životů</v>
      </c>
      <c r="AE16" s="388"/>
      <c r="AF16" s="389"/>
      <c r="AH16" s="292">
        <v>11</v>
      </c>
      <c r="AI16" s="293"/>
      <c r="AJ16" s="292">
        <v>61</v>
      </c>
      <c r="AK16" s="293"/>
      <c r="AM16" s="199"/>
      <c r="AN16" s="5"/>
      <c r="AO16" s="5"/>
      <c r="AP16" s="201"/>
      <c r="AQ16" s="4"/>
    </row>
    <row r="17" spans="1:55" ht="15" customHeight="1" thickBot="1" x14ac:dyDescent="0.25">
      <c r="A17" s="373">
        <f t="shared" ca="1" si="0"/>
        <v>120</v>
      </c>
      <c r="B17" s="373"/>
      <c r="C17" s="373">
        <f t="shared" ca="1" si="1"/>
        <v>460</v>
      </c>
      <c r="D17" s="373"/>
      <c r="E17" s="151"/>
      <c r="L17" s="5"/>
      <c r="M17" s="5"/>
      <c r="N17" s="5"/>
      <c r="O17" s="5"/>
      <c r="P17" s="12"/>
      <c r="Q17" s="339"/>
      <c r="R17" s="340"/>
      <c r="S17" s="340"/>
      <c r="T17" s="340"/>
      <c r="U17" s="387"/>
      <c r="V17" s="387"/>
      <c r="W17" s="304"/>
      <c r="X17" s="304"/>
      <c r="Y17" s="304"/>
      <c r="Z17" s="304"/>
      <c r="AA17" s="304"/>
      <c r="AB17" s="387"/>
      <c r="AC17" s="387"/>
      <c r="AD17" s="390"/>
      <c r="AE17" s="390"/>
      <c r="AF17" s="391"/>
      <c r="AH17" s="292">
        <v>12</v>
      </c>
      <c r="AI17" s="293"/>
      <c r="AJ17" s="292">
        <v>62</v>
      </c>
      <c r="AK17" s="293"/>
      <c r="AM17" s="205"/>
      <c r="AN17" s="206"/>
      <c r="AO17" s="206"/>
      <c r="AP17" s="207"/>
    </row>
    <row r="18" spans="1:55" ht="15" customHeight="1" x14ac:dyDescent="0.25">
      <c r="A18" s="373">
        <f t="shared" ca="1" si="0"/>
        <v>130</v>
      </c>
      <c r="B18" s="373"/>
      <c r="C18" s="373">
        <f t="shared" ca="1" si="1"/>
        <v>460</v>
      </c>
      <c r="D18" s="373"/>
      <c r="E18" s="151"/>
      <c r="P18" s="12"/>
      <c r="Q18" s="158"/>
      <c r="R18" s="154"/>
      <c r="S18" s="154"/>
      <c r="T18" s="154"/>
      <c r="U18" s="154"/>
      <c r="V18" s="154"/>
      <c r="W18" s="154"/>
      <c r="X18" s="156"/>
      <c r="Z18" s="157"/>
      <c r="AA18" s="155"/>
      <c r="AB18" s="155"/>
      <c r="AC18" s="155"/>
      <c r="AD18" s="155"/>
      <c r="AE18" s="148"/>
      <c r="AH18" s="292">
        <v>13</v>
      </c>
      <c r="AI18" s="293"/>
      <c r="AJ18" s="292">
        <v>63</v>
      </c>
      <c r="AK18" s="293"/>
    </row>
    <row r="19" spans="1:55" ht="15" customHeight="1" x14ac:dyDescent="0.2">
      <c r="A19" s="373">
        <f t="shared" ca="1" si="0"/>
        <v>140</v>
      </c>
      <c r="B19" s="373"/>
      <c r="C19" s="373">
        <f t="shared" ca="1" si="1"/>
        <v>460</v>
      </c>
      <c r="D19" s="373"/>
      <c r="E19" s="151"/>
      <c r="F19" s="315" t="s">
        <v>16</v>
      </c>
      <c r="G19" s="316"/>
      <c r="H19" s="316"/>
      <c r="I19" s="316"/>
      <c r="J19" s="316"/>
      <c r="K19" s="316"/>
      <c r="L19" s="341">
        <f ca="1">_SIL</f>
        <v>14</v>
      </c>
      <c r="M19" s="347"/>
      <c r="N19" s="341" t="str">
        <f ca="1">IF(OFFSET(_Bonus,L19,0,1,1)&gt;0,CONCATENATE("+",OFFSET(_Bonus,L19,0,1,1)),OFFSET(_Bonus,L19,0,1,1))</f>
        <v>+1</v>
      </c>
      <c r="O19" s="342"/>
      <c r="P19" s="12"/>
      <c r="Q19" s="398" t="s">
        <v>337</v>
      </c>
      <c r="R19" s="399"/>
      <c r="S19" s="399"/>
      <c r="T19" s="399"/>
      <c r="U19" s="399"/>
      <c r="V19" s="399"/>
      <c r="W19" s="399"/>
      <c r="X19" s="400"/>
      <c r="Y19" s="381"/>
      <c r="Z19" s="382"/>
      <c r="AA19" s="382"/>
      <c r="AB19" s="382"/>
      <c r="AC19" s="382"/>
      <c r="AD19" s="382"/>
      <c r="AE19" s="382"/>
      <c r="AF19" s="383"/>
      <c r="AH19" s="292">
        <v>14</v>
      </c>
      <c r="AI19" s="293"/>
      <c r="AJ19" s="292">
        <v>64</v>
      </c>
      <c r="AK19" s="293"/>
      <c r="AX19" s="147"/>
      <c r="AY19" s="147"/>
      <c r="AZ19" s="147"/>
      <c r="BA19" s="147"/>
      <c r="BB19" s="147"/>
      <c r="BC19" s="147"/>
    </row>
    <row r="20" spans="1:55" ht="15" customHeight="1" x14ac:dyDescent="0.2">
      <c r="A20" s="373">
        <f t="shared" ca="1" si="0"/>
        <v>150</v>
      </c>
      <c r="B20" s="373"/>
      <c r="C20" s="373">
        <f t="shared" ca="1" si="1"/>
        <v>460</v>
      </c>
      <c r="D20" s="373"/>
      <c r="E20" s="151"/>
      <c r="F20" s="315"/>
      <c r="G20" s="316"/>
      <c r="H20" s="316"/>
      <c r="I20" s="316"/>
      <c r="J20" s="316"/>
      <c r="K20" s="316"/>
      <c r="L20" s="348"/>
      <c r="M20" s="349"/>
      <c r="N20" s="343"/>
      <c r="O20" s="344"/>
      <c r="P20" s="12"/>
      <c r="Q20" s="401"/>
      <c r="R20" s="402"/>
      <c r="S20" s="402"/>
      <c r="T20" s="402"/>
      <c r="U20" s="402"/>
      <c r="V20" s="402"/>
      <c r="W20" s="402"/>
      <c r="X20" s="403"/>
      <c r="Y20" s="384"/>
      <c r="Z20" s="385"/>
      <c r="AA20" s="385"/>
      <c r="AB20" s="385"/>
      <c r="AC20" s="385"/>
      <c r="AD20" s="385"/>
      <c r="AE20" s="385"/>
      <c r="AF20" s="386"/>
      <c r="AH20" s="292">
        <v>15</v>
      </c>
      <c r="AI20" s="293"/>
      <c r="AJ20" s="292">
        <v>65</v>
      </c>
      <c r="AK20" s="293"/>
      <c r="AX20" s="147"/>
      <c r="AY20" s="147"/>
      <c r="AZ20" s="147"/>
      <c r="BA20" s="147"/>
      <c r="BB20" s="147"/>
      <c r="BC20" s="147"/>
    </row>
    <row r="21" spans="1:55" ht="15" customHeight="1" x14ac:dyDescent="0.2">
      <c r="A21" s="373">
        <f t="shared" ca="1" si="0"/>
        <v>160</v>
      </c>
      <c r="B21" s="373"/>
      <c r="C21" s="373">
        <f t="shared" ca="1" si="1"/>
        <v>460</v>
      </c>
      <c r="D21" s="373"/>
      <c r="E21" s="151"/>
      <c r="F21" s="315" t="s">
        <v>20</v>
      </c>
      <c r="G21" s="316"/>
      <c r="H21" s="316"/>
      <c r="I21" s="316"/>
      <c r="J21" s="316"/>
      <c r="K21" s="316"/>
      <c r="L21" s="341">
        <f ca="1">_OBR</f>
        <v>14</v>
      </c>
      <c r="M21" s="347"/>
      <c r="N21" s="341" t="str">
        <f ca="1">IF(OFFSET(_Bonus,L21,0,1,1)&gt;0,CONCATENATE("+",OFFSET(_Bonus,L21,0,1,1)),OFFSET(_Bonus,L21,0,1,1))</f>
        <v>+1</v>
      </c>
      <c r="O21" s="342"/>
      <c r="P21" s="12"/>
      <c r="Q21" s="375"/>
      <c r="R21" s="376"/>
      <c r="S21" s="376"/>
      <c r="T21" s="376"/>
      <c r="U21" s="376"/>
      <c r="V21" s="376"/>
      <c r="W21" s="376"/>
      <c r="X21" s="377"/>
      <c r="Y21" s="381"/>
      <c r="Z21" s="382"/>
      <c r="AA21" s="382"/>
      <c r="AB21" s="382"/>
      <c r="AC21" s="382"/>
      <c r="AD21" s="382"/>
      <c r="AE21" s="382"/>
      <c r="AF21" s="383"/>
      <c r="AH21" s="292">
        <v>16</v>
      </c>
      <c r="AI21" s="293"/>
      <c r="AJ21" s="292">
        <v>66</v>
      </c>
      <c r="AK21" s="293"/>
      <c r="AM21" s="147"/>
      <c r="AX21" s="147"/>
      <c r="AY21" s="147"/>
      <c r="AZ21" s="147"/>
      <c r="BA21" s="147"/>
      <c r="BB21" s="160"/>
      <c r="BC21" s="160"/>
    </row>
    <row r="22" spans="1:55" ht="15" customHeight="1" x14ac:dyDescent="0.2">
      <c r="A22" s="373">
        <f t="shared" ca="1" si="0"/>
        <v>170</v>
      </c>
      <c r="B22" s="373"/>
      <c r="C22" s="373">
        <f t="shared" ca="1" si="1"/>
        <v>460</v>
      </c>
      <c r="D22" s="373"/>
      <c r="E22" s="151"/>
      <c r="F22" s="315"/>
      <c r="G22" s="316"/>
      <c r="H22" s="316"/>
      <c r="I22" s="316"/>
      <c r="J22" s="316"/>
      <c r="K22" s="316"/>
      <c r="L22" s="348"/>
      <c r="M22" s="349"/>
      <c r="N22" s="343"/>
      <c r="O22" s="344"/>
      <c r="P22" s="12"/>
      <c r="Q22" s="378"/>
      <c r="R22" s="379"/>
      <c r="S22" s="379"/>
      <c r="T22" s="379"/>
      <c r="U22" s="379"/>
      <c r="V22" s="379"/>
      <c r="W22" s="379"/>
      <c r="X22" s="380"/>
      <c r="Y22" s="384"/>
      <c r="Z22" s="385"/>
      <c r="AA22" s="385"/>
      <c r="AB22" s="385"/>
      <c r="AC22" s="385"/>
      <c r="AD22" s="385"/>
      <c r="AE22" s="385"/>
      <c r="AF22" s="386"/>
      <c r="AH22" s="292">
        <v>17</v>
      </c>
      <c r="AI22" s="293"/>
      <c r="AJ22" s="292">
        <v>67</v>
      </c>
      <c r="AK22" s="293"/>
      <c r="AM22" s="147"/>
      <c r="AX22" s="147"/>
      <c r="AY22" s="147"/>
      <c r="AZ22" s="147"/>
      <c r="BA22" s="147"/>
      <c r="BB22" s="160"/>
      <c r="BC22" s="160"/>
    </row>
    <row r="23" spans="1:55" ht="15" customHeight="1" x14ac:dyDescent="0.2">
      <c r="A23" s="373">
        <f t="shared" ca="1" si="0"/>
        <v>180</v>
      </c>
      <c r="B23" s="373"/>
      <c r="C23" s="373">
        <f t="shared" ca="1" si="1"/>
        <v>460</v>
      </c>
      <c r="D23" s="373"/>
      <c r="E23" s="151"/>
      <c r="F23" s="315" t="s">
        <v>19</v>
      </c>
      <c r="G23" s="316"/>
      <c r="H23" s="316"/>
      <c r="I23" s="316"/>
      <c r="J23" s="316"/>
      <c r="K23" s="316"/>
      <c r="L23" s="341">
        <f ca="1">_ODL</f>
        <v>19</v>
      </c>
      <c r="M23" s="347"/>
      <c r="N23" s="341" t="str">
        <f ca="1">IF(OFFSET(_Bonus,L23,0,1,1)&gt;0,CONCATENATE("+",OFFSET(_Bonus,L23,0,1,1)),OFFSET(_Bonus,L23,0,1,1))</f>
        <v>+4</v>
      </c>
      <c r="O23" s="342"/>
      <c r="P23" s="12"/>
      <c r="Q23" s="375"/>
      <c r="R23" s="376"/>
      <c r="S23" s="376"/>
      <c r="T23" s="376"/>
      <c r="U23" s="376"/>
      <c r="V23" s="376"/>
      <c r="W23" s="376"/>
      <c r="X23" s="377"/>
      <c r="Y23" s="381"/>
      <c r="Z23" s="382"/>
      <c r="AA23" s="382"/>
      <c r="AB23" s="382"/>
      <c r="AC23" s="382"/>
      <c r="AD23" s="382"/>
      <c r="AE23" s="382"/>
      <c r="AF23" s="383"/>
      <c r="AH23" s="292">
        <v>18</v>
      </c>
      <c r="AI23" s="293"/>
      <c r="AJ23" s="292">
        <v>68</v>
      </c>
      <c r="AK23" s="293"/>
      <c r="AM23" s="147"/>
      <c r="AN23" s="165"/>
      <c r="AO23" s="166"/>
      <c r="AP23" s="193"/>
      <c r="AQ23" s="166"/>
      <c r="AR23" s="166"/>
      <c r="AS23" s="166"/>
      <c r="AX23" s="147"/>
      <c r="AY23" s="147"/>
      <c r="AZ23" s="147"/>
      <c r="BA23" s="147"/>
      <c r="BB23" s="160"/>
      <c r="BC23" s="160"/>
    </row>
    <row r="24" spans="1:55" ht="15" customHeight="1" x14ac:dyDescent="0.2">
      <c r="A24" s="373">
        <f t="shared" ca="1" si="0"/>
        <v>190</v>
      </c>
      <c r="B24" s="373"/>
      <c r="C24" s="373">
        <f t="shared" ca="1" si="1"/>
        <v>460</v>
      </c>
      <c r="D24" s="373"/>
      <c r="E24" s="151"/>
      <c r="F24" s="315"/>
      <c r="G24" s="316"/>
      <c r="H24" s="316"/>
      <c r="I24" s="316"/>
      <c r="J24" s="316"/>
      <c r="K24" s="316"/>
      <c r="L24" s="348"/>
      <c r="M24" s="349"/>
      <c r="N24" s="343"/>
      <c r="O24" s="344"/>
      <c r="P24" s="12"/>
      <c r="Q24" s="378"/>
      <c r="R24" s="379"/>
      <c r="S24" s="379"/>
      <c r="T24" s="379"/>
      <c r="U24" s="379"/>
      <c r="V24" s="379"/>
      <c r="W24" s="379"/>
      <c r="X24" s="380"/>
      <c r="Y24" s="384"/>
      <c r="Z24" s="385"/>
      <c r="AA24" s="385"/>
      <c r="AB24" s="385"/>
      <c r="AC24" s="385"/>
      <c r="AD24" s="385"/>
      <c r="AE24" s="385"/>
      <c r="AF24" s="386"/>
      <c r="AH24" s="292">
        <v>19</v>
      </c>
      <c r="AI24" s="293"/>
      <c r="AJ24" s="292">
        <v>69</v>
      </c>
      <c r="AK24" s="293"/>
      <c r="AM24" s="147"/>
      <c r="AN24" s="164"/>
      <c r="AO24" s="163"/>
      <c r="AP24" s="193"/>
      <c r="AQ24" s="193"/>
      <c r="AR24" s="193"/>
      <c r="AS24" s="193"/>
      <c r="AX24" s="147"/>
      <c r="AY24" s="147"/>
      <c r="AZ24" s="147"/>
      <c r="BA24" s="147"/>
      <c r="BB24" s="160"/>
      <c r="BC24" s="160"/>
    </row>
    <row r="25" spans="1:55" ht="15" customHeight="1" x14ac:dyDescent="0.2">
      <c r="A25" s="373">
        <f t="shared" ca="1" si="0"/>
        <v>200</v>
      </c>
      <c r="B25" s="373"/>
      <c r="C25" s="373">
        <f t="shared" ca="1" si="1"/>
        <v>460</v>
      </c>
      <c r="D25" s="373"/>
      <c r="E25" s="151"/>
      <c r="F25" s="315" t="s">
        <v>21</v>
      </c>
      <c r="G25" s="316"/>
      <c r="H25" s="316"/>
      <c r="I25" s="316"/>
      <c r="J25" s="316"/>
      <c r="K25" s="316"/>
      <c r="L25" s="341">
        <f ca="1">_INT</f>
        <v>4</v>
      </c>
      <c r="M25" s="347"/>
      <c r="N25" s="341">
        <f ca="1">IF(OFFSET(_Bonus,L25,0,1,1)&gt;0,CONCATENATE("+",OFFSET(_Bonus,L25,0,1,1)),OFFSET(_Bonus,L25,0,1,1))</f>
        <v>-3</v>
      </c>
      <c r="O25" s="342"/>
      <c r="P25" s="12"/>
      <c r="Q25" s="375"/>
      <c r="R25" s="376"/>
      <c r="S25" s="376"/>
      <c r="T25" s="376"/>
      <c r="U25" s="376"/>
      <c r="V25" s="376"/>
      <c r="W25" s="376"/>
      <c r="X25" s="377"/>
      <c r="Y25" s="381"/>
      <c r="Z25" s="382"/>
      <c r="AA25" s="382"/>
      <c r="AB25" s="382"/>
      <c r="AC25" s="382"/>
      <c r="AD25" s="382"/>
      <c r="AE25" s="382"/>
      <c r="AF25" s="383"/>
      <c r="AH25" s="292">
        <v>20</v>
      </c>
      <c r="AI25" s="293"/>
      <c r="AJ25" s="292">
        <v>70</v>
      </c>
      <c r="AK25" s="293"/>
      <c r="AN25" s="164"/>
      <c r="AO25" s="163"/>
      <c r="AP25" s="193"/>
      <c r="AQ25" s="193"/>
      <c r="AR25" s="193"/>
      <c r="AS25" s="193"/>
    </row>
    <row r="26" spans="1:55" ht="15" customHeight="1" x14ac:dyDescent="0.2">
      <c r="A26" s="373">
        <f t="shared" ca="1" si="0"/>
        <v>210</v>
      </c>
      <c r="B26" s="373"/>
      <c r="C26" s="373">
        <f t="shared" ca="1" si="1"/>
        <v>460</v>
      </c>
      <c r="D26" s="373"/>
      <c r="E26" s="151"/>
      <c r="F26" s="315"/>
      <c r="G26" s="316"/>
      <c r="H26" s="316"/>
      <c r="I26" s="316"/>
      <c r="J26" s="316"/>
      <c r="K26" s="316"/>
      <c r="L26" s="348"/>
      <c r="M26" s="349"/>
      <c r="N26" s="343"/>
      <c r="O26" s="344"/>
      <c r="P26" s="1"/>
      <c r="Q26" s="378"/>
      <c r="R26" s="379"/>
      <c r="S26" s="379"/>
      <c r="T26" s="379"/>
      <c r="U26" s="379"/>
      <c r="V26" s="379"/>
      <c r="W26" s="379"/>
      <c r="X26" s="380"/>
      <c r="Y26" s="384"/>
      <c r="Z26" s="385"/>
      <c r="AA26" s="385"/>
      <c r="AB26" s="385"/>
      <c r="AC26" s="385"/>
      <c r="AD26" s="385"/>
      <c r="AE26" s="385"/>
      <c r="AF26" s="386"/>
      <c r="AH26" s="292">
        <v>21</v>
      </c>
      <c r="AI26" s="293"/>
      <c r="AJ26" s="292">
        <v>71</v>
      </c>
      <c r="AK26" s="293"/>
      <c r="AN26" s="164"/>
      <c r="AO26" s="163"/>
      <c r="AP26" s="193"/>
      <c r="AQ26" s="193"/>
      <c r="AR26" s="193"/>
      <c r="AS26" s="193"/>
    </row>
    <row r="27" spans="1:55" ht="15" customHeight="1" x14ac:dyDescent="0.2">
      <c r="A27" s="373">
        <f t="shared" ca="1" si="0"/>
        <v>220</v>
      </c>
      <c r="B27" s="373"/>
      <c r="C27" s="373">
        <f t="shared" ca="1" si="1"/>
        <v>460</v>
      </c>
      <c r="D27" s="373"/>
      <c r="E27" s="151"/>
      <c r="F27" s="315" t="s">
        <v>22</v>
      </c>
      <c r="G27" s="316"/>
      <c r="H27" s="316"/>
      <c r="I27" s="316"/>
      <c r="J27" s="316"/>
      <c r="K27" s="316"/>
      <c r="L27" s="341">
        <f ca="1">_CHAR</f>
        <v>3</v>
      </c>
      <c r="M27" s="347"/>
      <c r="N27" s="341">
        <f ca="1">IF(OFFSET(_Bonus,L27,0,1,1)&gt;0,CONCATENATE("+",OFFSET(_Bonus,L27,0,1,1)),OFFSET(_Bonus,L27,0,1,1))</f>
        <v>-4</v>
      </c>
      <c r="O27" s="342"/>
      <c r="P27" s="1"/>
      <c r="Q27" s="375"/>
      <c r="R27" s="376"/>
      <c r="S27" s="376"/>
      <c r="T27" s="376"/>
      <c r="U27" s="376"/>
      <c r="V27" s="376"/>
      <c r="W27" s="376"/>
      <c r="X27" s="377"/>
      <c r="Y27" s="381"/>
      <c r="Z27" s="382"/>
      <c r="AA27" s="382"/>
      <c r="AB27" s="382"/>
      <c r="AC27" s="382"/>
      <c r="AD27" s="382"/>
      <c r="AE27" s="382"/>
      <c r="AF27" s="383"/>
      <c r="AH27" s="292">
        <v>22</v>
      </c>
      <c r="AI27" s="293"/>
      <c r="AJ27" s="292">
        <v>72</v>
      </c>
      <c r="AK27" s="293"/>
    </row>
    <row r="28" spans="1:55" ht="15" customHeight="1" x14ac:dyDescent="0.2">
      <c r="A28" s="373">
        <f t="shared" ca="1" si="0"/>
        <v>230</v>
      </c>
      <c r="B28" s="373"/>
      <c r="C28" s="373">
        <f t="shared" ca="1" si="1"/>
        <v>460</v>
      </c>
      <c r="D28" s="373"/>
      <c r="E28" s="151"/>
      <c r="F28" s="315"/>
      <c r="G28" s="316"/>
      <c r="H28" s="316"/>
      <c r="I28" s="316"/>
      <c r="J28" s="316"/>
      <c r="K28" s="316"/>
      <c r="L28" s="348"/>
      <c r="M28" s="349"/>
      <c r="N28" s="343"/>
      <c r="O28" s="344"/>
      <c r="Q28" s="378"/>
      <c r="R28" s="379"/>
      <c r="S28" s="379"/>
      <c r="T28" s="379"/>
      <c r="U28" s="379"/>
      <c r="V28" s="379"/>
      <c r="W28" s="379"/>
      <c r="X28" s="380"/>
      <c r="Y28" s="384"/>
      <c r="Z28" s="385"/>
      <c r="AA28" s="385"/>
      <c r="AB28" s="385"/>
      <c r="AC28" s="385"/>
      <c r="AD28" s="385"/>
      <c r="AE28" s="385"/>
      <c r="AF28" s="386"/>
      <c r="AH28" s="292">
        <v>23</v>
      </c>
      <c r="AI28" s="293"/>
      <c r="AJ28" s="292">
        <v>73</v>
      </c>
      <c r="AK28" s="293"/>
      <c r="AN28" s="165"/>
      <c r="AO28" s="167"/>
      <c r="AP28" s="194"/>
      <c r="AQ28" s="167"/>
    </row>
    <row r="29" spans="1:55" ht="15" customHeight="1" x14ac:dyDescent="0.2">
      <c r="A29" s="373">
        <f t="shared" ca="1" si="0"/>
        <v>240</v>
      </c>
      <c r="B29" s="373"/>
      <c r="C29" s="373">
        <f t="shared" ca="1" si="1"/>
        <v>460</v>
      </c>
      <c r="D29" s="373"/>
      <c r="E29" s="151"/>
      <c r="F29" s="315" t="s">
        <v>23</v>
      </c>
      <c r="G29" s="316"/>
      <c r="H29" s="316"/>
      <c r="I29" s="316"/>
      <c r="J29" s="316"/>
      <c r="K29" s="316"/>
      <c r="L29" s="341" t="str">
        <f>CHOOSE(_RasInd,"A","A","A","B","B","B","C")</f>
        <v>C</v>
      </c>
      <c r="M29" s="345"/>
      <c r="N29" s="345"/>
      <c r="O29" s="342"/>
      <c r="Q29" s="375"/>
      <c r="R29" s="376"/>
      <c r="S29" s="376"/>
      <c r="T29" s="376"/>
      <c r="U29" s="376"/>
      <c r="V29" s="376"/>
      <c r="W29" s="376"/>
      <c r="X29" s="377"/>
      <c r="Y29" s="381"/>
      <c r="Z29" s="382"/>
      <c r="AA29" s="382"/>
      <c r="AB29" s="382"/>
      <c r="AC29" s="382"/>
      <c r="AD29" s="382"/>
      <c r="AE29" s="382"/>
      <c r="AF29" s="383"/>
      <c r="AH29" s="292">
        <v>24</v>
      </c>
      <c r="AI29" s="293"/>
      <c r="AJ29" s="292">
        <v>74</v>
      </c>
      <c r="AK29" s="293"/>
      <c r="AO29" s="18"/>
      <c r="AP29" s="194"/>
      <c r="AQ29" s="194"/>
    </row>
    <row r="30" spans="1:55" ht="15" customHeight="1" x14ac:dyDescent="0.2">
      <c r="A30" s="373">
        <f t="shared" ca="1" si="0"/>
        <v>250</v>
      </c>
      <c r="B30" s="373"/>
      <c r="C30" s="373">
        <f t="shared" ca="1" si="1"/>
        <v>460</v>
      </c>
      <c r="D30" s="373"/>
      <c r="E30" s="151"/>
      <c r="F30" s="315"/>
      <c r="G30" s="316"/>
      <c r="H30" s="316"/>
      <c r="I30" s="316"/>
      <c r="J30" s="316"/>
      <c r="K30" s="316"/>
      <c r="L30" s="343"/>
      <c r="M30" s="346"/>
      <c r="N30" s="346"/>
      <c r="O30" s="344"/>
      <c r="Q30" s="378"/>
      <c r="R30" s="379"/>
      <c r="S30" s="379"/>
      <c r="T30" s="379"/>
      <c r="U30" s="379"/>
      <c r="V30" s="379"/>
      <c r="W30" s="379"/>
      <c r="X30" s="380"/>
      <c r="Y30" s="384"/>
      <c r="Z30" s="385"/>
      <c r="AA30" s="385"/>
      <c r="AB30" s="385"/>
      <c r="AC30" s="385"/>
      <c r="AD30" s="385"/>
      <c r="AE30" s="385"/>
      <c r="AF30" s="386"/>
      <c r="AH30" s="292">
        <v>25</v>
      </c>
      <c r="AI30" s="293"/>
      <c r="AJ30" s="292">
        <v>75</v>
      </c>
      <c r="AK30" s="293"/>
      <c r="AO30" s="18"/>
      <c r="AP30" s="194"/>
      <c r="AQ30" s="194"/>
    </row>
    <row r="31" spans="1:55" ht="15" customHeight="1" x14ac:dyDescent="0.2">
      <c r="A31" s="373">
        <f t="shared" ca="1" si="0"/>
        <v>260</v>
      </c>
      <c r="B31" s="373"/>
      <c r="C31" s="373">
        <f t="shared" ca="1" si="1"/>
        <v>460</v>
      </c>
      <c r="D31" s="373"/>
      <c r="E31" s="151"/>
      <c r="AF31" s="1"/>
      <c r="AH31" s="292">
        <v>26</v>
      </c>
      <c r="AI31" s="293"/>
      <c r="AJ31" s="292">
        <v>76</v>
      </c>
      <c r="AK31" s="293"/>
      <c r="AO31" s="18"/>
      <c r="AP31" s="194"/>
      <c r="AQ31" s="194"/>
      <c r="AR31" s="159"/>
      <c r="AS31" s="159"/>
    </row>
    <row r="32" spans="1:55" ht="15" customHeight="1" x14ac:dyDescent="0.2">
      <c r="A32" s="373">
        <f t="shared" ca="1" si="0"/>
        <v>270</v>
      </c>
      <c r="B32" s="373"/>
      <c r="C32" s="373">
        <f t="shared" ca="1" si="1"/>
        <v>460</v>
      </c>
      <c r="D32" s="373"/>
      <c r="E32" s="151"/>
      <c r="F32" s="312" t="s">
        <v>24</v>
      </c>
      <c r="G32" s="312"/>
      <c r="H32" s="312"/>
      <c r="I32" s="312"/>
      <c r="J32" s="312"/>
      <c r="K32" s="312"/>
      <c r="L32" s="314" t="s">
        <v>25</v>
      </c>
      <c r="M32" s="314"/>
      <c r="N32" s="314"/>
      <c r="O32" s="314" t="s">
        <v>26</v>
      </c>
      <c r="P32" s="314"/>
      <c r="Q32" s="314"/>
      <c r="R32" s="314" t="s">
        <v>27</v>
      </c>
      <c r="S32" s="314"/>
      <c r="T32" s="314"/>
      <c r="U32" s="314" t="s">
        <v>323</v>
      </c>
      <c r="V32" s="314"/>
      <c r="W32" s="314"/>
      <c r="X32" s="314" t="s">
        <v>321</v>
      </c>
      <c r="Y32" s="314"/>
      <c r="Z32" s="314"/>
      <c r="AA32" s="313" t="s">
        <v>322</v>
      </c>
      <c r="AB32" s="313"/>
      <c r="AC32" s="313"/>
      <c r="AD32" s="313"/>
      <c r="AE32" s="313"/>
      <c r="AF32" s="313"/>
      <c r="AH32" s="292">
        <v>27</v>
      </c>
      <c r="AI32" s="293"/>
      <c r="AJ32" s="292">
        <v>77</v>
      </c>
      <c r="AK32" s="293"/>
      <c r="AO32" s="18"/>
      <c r="AP32" s="194"/>
      <c r="AQ32" s="194"/>
      <c r="AR32" s="159"/>
      <c r="AS32" s="159"/>
    </row>
    <row r="33" spans="1:45" ht="15" customHeight="1" x14ac:dyDescent="0.2">
      <c r="A33" s="373">
        <f t="shared" ca="1" si="0"/>
        <v>280</v>
      </c>
      <c r="B33" s="373"/>
      <c r="C33" s="373">
        <f t="shared" ca="1" si="1"/>
        <v>460</v>
      </c>
      <c r="D33" s="373"/>
      <c r="E33" s="151"/>
      <c r="F33" s="306"/>
      <c r="G33" s="307"/>
      <c r="H33" s="307"/>
      <c r="I33" s="307"/>
      <c r="J33" s="307"/>
      <c r="K33" s="308"/>
      <c r="L33" s="306"/>
      <c r="M33" s="307"/>
      <c r="N33" s="308"/>
      <c r="O33" s="306"/>
      <c r="P33" s="307"/>
      <c r="Q33" s="308"/>
      <c r="R33" s="306"/>
      <c r="S33" s="307"/>
      <c r="T33" s="308"/>
      <c r="U33" s="306"/>
      <c r="V33" s="307"/>
      <c r="W33" s="308"/>
      <c r="X33" s="306"/>
      <c r="Y33" s="307"/>
      <c r="Z33" s="308"/>
      <c r="AA33" s="317"/>
      <c r="AB33" s="318"/>
      <c r="AC33" s="318"/>
      <c r="AD33" s="318"/>
      <c r="AE33" s="318"/>
      <c r="AF33" s="319"/>
      <c r="AH33" s="292">
        <v>28</v>
      </c>
      <c r="AI33" s="293"/>
      <c r="AJ33" s="292">
        <v>78</v>
      </c>
      <c r="AK33" s="293"/>
      <c r="AO33" s="18"/>
      <c r="AP33" s="194"/>
      <c r="AQ33" s="194"/>
      <c r="AR33" s="159"/>
      <c r="AS33" s="159"/>
    </row>
    <row r="34" spans="1:45" ht="15" customHeight="1" x14ac:dyDescent="0.2">
      <c r="A34" s="373">
        <f t="shared" ca="1" si="0"/>
        <v>290</v>
      </c>
      <c r="B34" s="373"/>
      <c r="C34" s="373">
        <f t="shared" ca="1" si="1"/>
        <v>460</v>
      </c>
      <c r="D34" s="373"/>
      <c r="E34" s="151"/>
      <c r="F34" s="309"/>
      <c r="G34" s="310"/>
      <c r="H34" s="310"/>
      <c r="I34" s="310"/>
      <c r="J34" s="310"/>
      <c r="K34" s="311"/>
      <c r="L34" s="309"/>
      <c r="M34" s="310"/>
      <c r="N34" s="311"/>
      <c r="O34" s="309"/>
      <c r="P34" s="310"/>
      <c r="Q34" s="311"/>
      <c r="R34" s="309"/>
      <c r="S34" s="310"/>
      <c r="T34" s="311"/>
      <c r="U34" s="309"/>
      <c r="V34" s="310"/>
      <c r="W34" s="311"/>
      <c r="X34" s="309"/>
      <c r="Y34" s="310"/>
      <c r="Z34" s="311"/>
      <c r="AA34" s="320"/>
      <c r="AB34" s="321"/>
      <c r="AC34" s="321"/>
      <c r="AD34" s="321"/>
      <c r="AE34" s="321"/>
      <c r="AF34" s="322"/>
      <c r="AH34" s="292">
        <v>29</v>
      </c>
      <c r="AI34" s="293"/>
      <c r="AJ34" s="292">
        <v>79</v>
      </c>
      <c r="AK34" s="293"/>
      <c r="AN34" s="147"/>
      <c r="AO34" s="147"/>
      <c r="AP34" s="196"/>
      <c r="AQ34" s="159"/>
      <c r="AR34" s="159"/>
      <c r="AS34" s="159"/>
    </row>
    <row r="35" spans="1:45" ht="15" customHeight="1" x14ac:dyDescent="0.2">
      <c r="A35" s="373">
        <f t="shared" ca="1" si="0"/>
        <v>300</v>
      </c>
      <c r="B35" s="373"/>
      <c r="C35" s="373">
        <f t="shared" ca="1" si="1"/>
        <v>460</v>
      </c>
      <c r="D35" s="373"/>
      <c r="E35" s="151"/>
      <c r="F35" s="306"/>
      <c r="G35" s="307"/>
      <c r="H35" s="307"/>
      <c r="I35" s="307"/>
      <c r="J35" s="307"/>
      <c r="K35" s="308"/>
      <c r="L35" s="306"/>
      <c r="M35" s="307"/>
      <c r="N35" s="308"/>
      <c r="O35" s="306"/>
      <c r="P35" s="307"/>
      <c r="Q35" s="308"/>
      <c r="R35" s="306"/>
      <c r="S35" s="307"/>
      <c r="T35" s="308"/>
      <c r="U35" s="306"/>
      <c r="V35" s="307"/>
      <c r="W35" s="308"/>
      <c r="X35" s="306"/>
      <c r="Y35" s="307"/>
      <c r="Z35" s="308"/>
      <c r="AA35" s="317"/>
      <c r="AB35" s="318"/>
      <c r="AC35" s="318"/>
      <c r="AD35" s="318"/>
      <c r="AE35" s="318"/>
      <c r="AF35" s="319"/>
      <c r="AH35" s="292">
        <v>30</v>
      </c>
      <c r="AI35" s="293"/>
      <c r="AJ35" s="292">
        <v>80</v>
      </c>
      <c r="AK35" s="293"/>
    </row>
    <row r="36" spans="1:45" ht="15" customHeight="1" x14ac:dyDescent="0.2">
      <c r="A36" s="373">
        <f t="shared" ca="1" si="0"/>
        <v>310</v>
      </c>
      <c r="B36" s="373"/>
      <c r="C36" s="373">
        <f t="shared" ca="1" si="1"/>
        <v>460</v>
      </c>
      <c r="D36" s="373"/>
      <c r="E36" s="151"/>
      <c r="F36" s="309"/>
      <c r="G36" s="310"/>
      <c r="H36" s="310"/>
      <c r="I36" s="310"/>
      <c r="J36" s="310"/>
      <c r="K36" s="311"/>
      <c r="L36" s="309"/>
      <c r="M36" s="310"/>
      <c r="N36" s="311"/>
      <c r="O36" s="309"/>
      <c r="P36" s="310"/>
      <c r="Q36" s="311"/>
      <c r="R36" s="309"/>
      <c r="S36" s="310"/>
      <c r="T36" s="311"/>
      <c r="U36" s="309"/>
      <c r="V36" s="310"/>
      <c r="W36" s="311"/>
      <c r="X36" s="309"/>
      <c r="Y36" s="310"/>
      <c r="Z36" s="311"/>
      <c r="AA36" s="320"/>
      <c r="AB36" s="321"/>
      <c r="AC36" s="321"/>
      <c r="AD36" s="321"/>
      <c r="AE36" s="321"/>
      <c r="AF36" s="322"/>
      <c r="AH36" s="292">
        <v>31</v>
      </c>
      <c r="AI36" s="293"/>
      <c r="AJ36" s="292">
        <v>81</v>
      </c>
      <c r="AK36" s="293"/>
    </row>
    <row r="37" spans="1:45" ht="15" customHeight="1" x14ac:dyDescent="0.2">
      <c r="A37" s="373">
        <f t="shared" ca="1" si="0"/>
        <v>320</v>
      </c>
      <c r="B37" s="373"/>
      <c r="C37" s="373">
        <f t="shared" ca="1" si="1"/>
        <v>460</v>
      </c>
      <c r="D37" s="373"/>
      <c r="E37" s="151"/>
      <c r="F37" s="4" t="s">
        <v>326</v>
      </c>
      <c r="AH37" s="292">
        <v>32</v>
      </c>
      <c r="AI37" s="293"/>
      <c r="AJ37" s="292">
        <v>82</v>
      </c>
      <c r="AK37" s="293"/>
    </row>
    <row r="38" spans="1:45" ht="15" customHeight="1" x14ac:dyDescent="0.2">
      <c r="A38" s="373">
        <f t="shared" ca="1" si="0"/>
        <v>330</v>
      </c>
      <c r="B38" s="373"/>
      <c r="C38" s="373">
        <f t="shared" ca="1" si="1"/>
        <v>460</v>
      </c>
      <c r="D38" s="373"/>
      <c r="E38" s="151"/>
      <c r="AH38" s="292">
        <v>33</v>
      </c>
      <c r="AI38" s="293"/>
      <c r="AJ38" s="292">
        <v>83</v>
      </c>
      <c r="AK38" s="293"/>
    </row>
    <row r="39" spans="1:45" ht="15" customHeight="1" x14ac:dyDescent="0.2">
      <c r="A39" s="373">
        <f t="shared" ref="A39:A55" ca="1" si="2">IF(OR(_ZakPovInd=1,_ZakPovInd=5),"",IF(_ZakPovInd=3,IF(A38&lt;_MAG,MIN(A38+10,_MAG),_MAG+10),A38+1))</f>
        <v>340</v>
      </c>
      <c r="B39" s="373"/>
      <c r="C39" s="373">
        <f t="shared" ref="C39:C55" ca="1" si="3">IF(OR(_ZakPovInd=1,_ZakPovInd=5),"",IF(_ZakPovInd=3,IF(C38&lt;_MAG,MIN(C38+10,_MAG),_MAG+10),C38+1))</f>
        <v>460</v>
      </c>
      <c r="D39" s="373"/>
      <c r="E39" s="151"/>
      <c r="F39" s="323" t="s">
        <v>324</v>
      </c>
      <c r="G39" s="324"/>
      <c r="H39" s="324"/>
      <c r="I39" s="324"/>
      <c r="J39" s="324"/>
      <c r="K39" s="324"/>
      <c r="L39" s="314" t="s">
        <v>325</v>
      </c>
      <c r="M39" s="314"/>
      <c r="N39" s="314"/>
      <c r="O39" s="314" t="s">
        <v>321</v>
      </c>
      <c r="P39" s="314"/>
      <c r="Q39" s="314"/>
      <c r="R39" s="325" t="s">
        <v>322</v>
      </c>
      <c r="S39" s="326"/>
      <c r="T39" s="326"/>
      <c r="U39" s="326"/>
      <c r="V39" s="326"/>
      <c r="W39" s="327"/>
      <c r="X39" s="21"/>
      <c r="Y39" s="289" t="s">
        <v>327</v>
      </c>
      <c r="Z39" s="289"/>
      <c r="AA39" s="289"/>
      <c r="AB39" s="289"/>
      <c r="AC39" s="289"/>
      <c r="AD39" s="286"/>
      <c r="AE39" s="286"/>
      <c r="AF39" s="286"/>
      <c r="AH39" s="292">
        <v>34</v>
      </c>
      <c r="AI39" s="293"/>
      <c r="AJ39" s="292">
        <v>84</v>
      </c>
      <c r="AK39" s="293"/>
    </row>
    <row r="40" spans="1:45" ht="15" customHeight="1" x14ac:dyDescent="0.2">
      <c r="A40" s="373">
        <f t="shared" ca="1" si="2"/>
        <v>350</v>
      </c>
      <c r="B40" s="373"/>
      <c r="C40" s="373">
        <f t="shared" ca="1" si="3"/>
        <v>460</v>
      </c>
      <c r="D40" s="373"/>
      <c r="E40" s="151"/>
      <c r="F40" s="306"/>
      <c r="G40" s="307"/>
      <c r="H40" s="307"/>
      <c r="I40" s="307"/>
      <c r="J40" s="307"/>
      <c r="K40" s="308"/>
      <c r="L40" s="306"/>
      <c r="M40" s="307"/>
      <c r="N40" s="308"/>
      <c r="O40" s="306"/>
      <c r="P40" s="307"/>
      <c r="Q40" s="308"/>
      <c r="R40" s="317"/>
      <c r="S40" s="318"/>
      <c r="T40" s="318"/>
      <c r="U40" s="318"/>
      <c r="V40" s="318"/>
      <c r="W40" s="319"/>
      <c r="X40" s="159"/>
      <c r="Y40" s="290"/>
      <c r="Z40" s="290"/>
      <c r="AA40" s="290"/>
      <c r="AB40" s="290"/>
      <c r="AC40" s="290"/>
      <c r="AD40" s="287"/>
      <c r="AE40" s="287"/>
      <c r="AF40" s="287"/>
      <c r="AH40" s="292">
        <v>35</v>
      </c>
      <c r="AI40" s="293"/>
      <c r="AJ40" s="292">
        <v>85</v>
      </c>
      <c r="AK40" s="293"/>
    </row>
    <row r="41" spans="1:45" ht="15" customHeight="1" x14ac:dyDescent="0.2">
      <c r="A41" s="373">
        <f t="shared" ca="1" si="2"/>
        <v>360</v>
      </c>
      <c r="B41" s="373"/>
      <c r="C41" s="373">
        <f t="shared" ca="1" si="3"/>
        <v>460</v>
      </c>
      <c r="D41" s="373"/>
      <c r="E41" s="151"/>
      <c r="F41" s="309"/>
      <c r="G41" s="310"/>
      <c r="H41" s="310"/>
      <c r="I41" s="310"/>
      <c r="J41" s="310"/>
      <c r="K41" s="311"/>
      <c r="L41" s="309"/>
      <c r="M41" s="310"/>
      <c r="N41" s="311"/>
      <c r="O41" s="309"/>
      <c r="P41" s="310"/>
      <c r="Q41" s="311"/>
      <c r="R41" s="320"/>
      <c r="S41" s="321"/>
      <c r="T41" s="321"/>
      <c r="U41" s="321"/>
      <c r="V41" s="321"/>
      <c r="W41" s="322"/>
      <c r="X41" s="159"/>
      <c r="Y41" s="291"/>
      <c r="Z41" s="291"/>
      <c r="AA41" s="291"/>
      <c r="AB41" s="291"/>
      <c r="AC41" s="291"/>
      <c r="AD41" s="288"/>
      <c r="AE41" s="288"/>
      <c r="AF41" s="288"/>
      <c r="AH41" s="292">
        <v>36</v>
      </c>
      <c r="AI41" s="293"/>
      <c r="AJ41" s="292">
        <v>86</v>
      </c>
      <c r="AK41" s="293"/>
    </row>
    <row r="42" spans="1:45" ht="15" customHeight="1" x14ac:dyDescent="0.2">
      <c r="A42" s="373">
        <f t="shared" ca="1" si="2"/>
        <v>370</v>
      </c>
      <c r="B42" s="373"/>
      <c r="C42" s="373">
        <f t="shared" ca="1" si="3"/>
        <v>460</v>
      </c>
      <c r="D42" s="373"/>
      <c r="E42" s="151"/>
      <c r="AH42" s="292">
        <v>37</v>
      </c>
      <c r="AI42" s="293"/>
      <c r="AJ42" s="292">
        <v>87</v>
      </c>
      <c r="AK42" s="293"/>
    </row>
    <row r="43" spans="1:45" ht="15" customHeight="1" x14ac:dyDescent="0.2">
      <c r="A43" s="373">
        <f t="shared" ca="1" si="2"/>
        <v>380</v>
      </c>
      <c r="B43" s="373"/>
      <c r="C43" s="373">
        <f t="shared" ca="1" si="3"/>
        <v>460</v>
      </c>
      <c r="D43" s="373"/>
      <c r="E43" s="151"/>
      <c r="F43" s="255" t="s">
        <v>28</v>
      </c>
      <c r="G43" s="255"/>
      <c r="H43" s="255"/>
      <c r="I43" s="255"/>
      <c r="J43" s="255"/>
      <c r="K43" s="255"/>
      <c r="L43" s="255"/>
      <c r="M43" s="255"/>
      <c r="N43" s="255"/>
      <c r="O43" s="255" t="s">
        <v>328</v>
      </c>
      <c r="P43" s="255"/>
      <c r="Q43" s="255"/>
      <c r="R43" s="255"/>
      <c r="S43" s="255"/>
      <c r="T43" s="255"/>
      <c r="U43" s="255" t="s">
        <v>329</v>
      </c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H43" s="292">
        <v>38</v>
      </c>
      <c r="AI43" s="293"/>
      <c r="AJ43" s="292">
        <v>88</v>
      </c>
      <c r="AK43" s="293"/>
    </row>
    <row r="44" spans="1:45" ht="15" customHeight="1" x14ac:dyDescent="0.2">
      <c r="A44" s="373">
        <f t="shared" ca="1" si="2"/>
        <v>390</v>
      </c>
      <c r="B44" s="373"/>
      <c r="C44" s="373">
        <f t="shared" ca="1" si="3"/>
        <v>460</v>
      </c>
      <c r="D44" s="373"/>
      <c r="E44" s="151"/>
      <c r="F44" s="257"/>
      <c r="G44" s="258"/>
      <c r="H44" s="258"/>
      <c r="I44" s="258"/>
      <c r="J44" s="258"/>
      <c r="K44" s="258"/>
      <c r="L44" s="258"/>
      <c r="M44" s="258"/>
      <c r="N44" s="259"/>
      <c r="O44" s="257"/>
      <c r="P44" s="258"/>
      <c r="Q44" s="258"/>
      <c r="R44" s="258"/>
      <c r="S44" s="258"/>
      <c r="T44" s="259"/>
      <c r="U44" s="257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9"/>
      <c r="AH44" s="292">
        <v>39</v>
      </c>
      <c r="AI44" s="293"/>
      <c r="AJ44" s="292">
        <v>89</v>
      </c>
      <c r="AK44" s="293"/>
    </row>
    <row r="45" spans="1:45" ht="15" customHeight="1" x14ac:dyDescent="0.2">
      <c r="A45" s="373">
        <f t="shared" ca="1" si="2"/>
        <v>400</v>
      </c>
      <c r="B45" s="373"/>
      <c r="C45" s="373">
        <f t="shared" ca="1" si="3"/>
        <v>460</v>
      </c>
      <c r="D45" s="373"/>
      <c r="E45" s="151"/>
      <c r="F45" s="260"/>
      <c r="G45" s="261"/>
      <c r="H45" s="261"/>
      <c r="I45" s="261"/>
      <c r="J45" s="261"/>
      <c r="K45" s="261"/>
      <c r="L45" s="261"/>
      <c r="M45" s="261"/>
      <c r="N45" s="262"/>
      <c r="O45" s="260"/>
      <c r="P45" s="261"/>
      <c r="Q45" s="261"/>
      <c r="R45" s="261"/>
      <c r="S45" s="261"/>
      <c r="T45" s="262"/>
      <c r="U45" s="260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2"/>
      <c r="AH45" s="292">
        <v>40</v>
      </c>
      <c r="AI45" s="293"/>
      <c r="AJ45" s="292">
        <v>90</v>
      </c>
      <c r="AK45" s="293"/>
    </row>
    <row r="46" spans="1:45" ht="15" customHeight="1" x14ac:dyDescent="0.2">
      <c r="A46" s="373">
        <f t="shared" ca="1" si="2"/>
        <v>410</v>
      </c>
      <c r="B46" s="373"/>
      <c r="C46" s="373">
        <f t="shared" ca="1" si="3"/>
        <v>460</v>
      </c>
      <c r="D46" s="373"/>
      <c r="E46" s="151"/>
      <c r="F46" s="257"/>
      <c r="G46" s="258"/>
      <c r="H46" s="258"/>
      <c r="I46" s="258"/>
      <c r="J46" s="258"/>
      <c r="K46" s="258"/>
      <c r="L46" s="258"/>
      <c r="M46" s="258"/>
      <c r="N46" s="259"/>
      <c r="O46" s="257"/>
      <c r="P46" s="258"/>
      <c r="Q46" s="258"/>
      <c r="R46" s="258"/>
      <c r="S46" s="258"/>
      <c r="T46" s="259"/>
      <c r="U46" s="257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9"/>
      <c r="AH46" s="292">
        <v>41</v>
      </c>
      <c r="AI46" s="293"/>
      <c r="AJ46" s="292">
        <v>91</v>
      </c>
      <c r="AK46" s="293"/>
    </row>
    <row r="47" spans="1:45" ht="15" customHeight="1" x14ac:dyDescent="0.2">
      <c r="A47" s="373">
        <f t="shared" ca="1" si="2"/>
        <v>420</v>
      </c>
      <c r="B47" s="373"/>
      <c r="C47" s="373">
        <f t="shared" ca="1" si="3"/>
        <v>460</v>
      </c>
      <c r="D47" s="373"/>
      <c r="E47" s="151"/>
      <c r="F47" s="260"/>
      <c r="G47" s="261"/>
      <c r="H47" s="261"/>
      <c r="I47" s="261"/>
      <c r="J47" s="261"/>
      <c r="K47" s="261"/>
      <c r="L47" s="261"/>
      <c r="M47" s="261"/>
      <c r="N47" s="262"/>
      <c r="O47" s="260"/>
      <c r="P47" s="261"/>
      <c r="Q47" s="261"/>
      <c r="R47" s="261"/>
      <c r="S47" s="261"/>
      <c r="T47" s="262"/>
      <c r="U47" s="260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2"/>
      <c r="AH47" s="292">
        <v>42</v>
      </c>
      <c r="AI47" s="293"/>
      <c r="AJ47" s="292">
        <v>92</v>
      </c>
      <c r="AK47" s="293"/>
    </row>
    <row r="48" spans="1:45" ht="15" customHeight="1" x14ac:dyDescent="0.2">
      <c r="A48" s="373">
        <f t="shared" ca="1" si="2"/>
        <v>430</v>
      </c>
      <c r="B48" s="373"/>
      <c r="C48" s="373">
        <f t="shared" ca="1" si="3"/>
        <v>460</v>
      </c>
      <c r="D48" s="373"/>
      <c r="E48" s="151"/>
      <c r="F48" s="257"/>
      <c r="G48" s="258"/>
      <c r="H48" s="258"/>
      <c r="I48" s="258"/>
      <c r="J48" s="258"/>
      <c r="K48" s="258"/>
      <c r="L48" s="258"/>
      <c r="M48" s="258"/>
      <c r="N48" s="259"/>
      <c r="O48" s="257"/>
      <c r="P48" s="258"/>
      <c r="Q48" s="258"/>
      <c r="R48" s="258"/>
      <c r="S48" s="258"/>
      <c r="T48" s="259"/>
      <c r="U48" s="257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9"/>
      <c r="AH48" s="292">
        <v>43</v>
      </c>
      <c r="AI48" s="293"/>
      <c r="AJ48" s="292">
        <v>93</v>
      </c>
      <c r="AK48" s="293"/>
    </row>
    <row r="49" spans="1:47" ht="15" customHeight="1" x14ac:dyDescent="0.2">
      <c r="A49" s="373">
        <f t="shared" ca="1" si="2"/>
        <v>440</v>
      </c>
      <c r="B49" s="373"/>
      <c r="C49" s="373">
        <f t="shared" ca="1" si="3"/>
        <v>460</v>
      </c>
      <c r="D49" s="373"/>
      <c r="E49" s="151"/>
      <c r="F49" s="260"/>
      <c r="G49" s="261"/>
      <c r="H49" s="261"/>
      <c r="I49" s="261"/>
      <c r="J49" s="261"/>
      <c r="K49" s="261"/>
      <c r="L49" s="261"/>
      <c r="M49" s="261"/>
      <c r="N49" s="262"/>
      <c r="O49" s="260"/>
      <c r="P49" s="261"/>
      <c r="Q49" s="261"/>
      <c r="R49" s="261"/>
      <c r="S49" s="261"/>
      <c r="T49" s="262"/>
      <c r="U49" s="260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2"/>
      <c r="AH49" s="292">
        <v>44</v>
      </c>
      <c r="AI49" s="293"/>
      <c r="AJ49" s="292">
        <v>94</v>
      </c>
      <c r="AK49" s="293"/>
    </row>
    <row r="50" spans="1:47" ht="15" customHeight="1" x14ac:dyDescent="0.2">
      <c r="A50" s="373">
        <f t="shared" ca="1" si="2"/>
        <v>450</v>
      </c>
      <c r="B50" s="373"/>
      <c r="C50" s="373">
        <f t="shared" ca="1" si="3"/>
        <v>460</v>
      </c>
      <c r="D50" s="373"/>
      <c r="E50" s="151"/>
      <c r="F50" s="257"/>
      <c r="G50" s="258"/>
      <c r="H50" s="258"/>
      <c r="I50" s="258"/>
      <c r="J50" s="258"/>
      <c r="K50" s="258"/>
      <c r="L50" s="258"/>
      <c r="M50" s="258"/>
      <c r="N50" s="259"/>
      <c r="O50" s="257"/>
      <c r="P50" s="258"/>
      <c r="Q50" s="258"/>
      <c r="R50" s="258"/>
      <c r="S50" s="258"/>
      <c r="T50" s="259"/>
      <c r="U50" s="257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9"/>
      <c r="AH50" s="292">
        <v>45</v>
      </c>
      <c r="AI50" s="293"/>
      <c r="AJ50" s="292">
        <v>95</v>
      </c>
      <c r="AK50" s="293"/>
    </row>
    <row r="51" spans="1:47" ht="15" customHeight="1" x14ac:dyDescent="0.2">
      <c r="A51" s="373">
        <f t="shared" ca="1" si="2"/>
        <v>460</v>
      </c>
      <c r="B51" s="373"/>
      <c r="C51" s="373">
        <f t="shared" ca="1" si="3"/>
        <v>460</v>
      </c>
      <c r="D51" s="373"/>
      <c r="E51" s="151"/>
      <c r="F51" s="260"/>
      <c r="G51" s="261"/>
      <c r="H51" s="261"/>
      <c r="I51" s="261"/>
      <c r="J51" s="261"/>
      <c r="K51" s="261"/>
      <c r="L51" s="261"/>
      <c r="M51" s="261"/>
      <c r="N51" s="262"/>
      <c r="O51" s="260"/>
      <c r="P51" s="261"/>
      <c r="Q51" s="261"/>
      <c r="R51" s="261"/>
      <c r="S51" s="261"/>
      <c r="T51" s="262"/>
      <c r="U51" s="260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2"/>
      <c r="AH51" s="292">
        <v>46</v>
      </c>
      <c r="AI51" s="293"/>
      <c r="AJ51" s="292">
        <v>96</v>
      </c>
      <c r="AK51" s="293"/>
    </row>
    <row r="52" spans="1:47" ht="15" customHeight="1" x14ac:dyDescent="0.2">
      <c r="A52" s="373">
        <f t="shared" ca="1" si="2"/>
        <v>460</v>
      </c>
      <c r="B52" s="373"/>
      <c r="C52" s="373">
        <f t="shared" ca="1" si="3"/>
        <v>460</v>
      </c>
      <c r="D52" s="373"/>
      <c r="E52" s="151"/>
      <c r="F52" s="257"/>
      <c r="G52" s="258"/>
      <c r="H52" s="258"/>
      <c r="I52" s="258"/>
      <c r="J52" s="258"/>
      <c r="K52" s="258"/>
      <c r="L52" s="258"/>
      <c r="M52" s="258"/>
      <c r="N52" s="259"/>
      <c r="O52" s="257"/>
      <c r="P52" s="258"/>
      <c r="Q52" s="258"/>
      <c r="R52" s="258"/>
      <c r="S52" s="258"/>
      <c r="T52" s="259"/>
      <c r="U52" s="257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9"/>
      <c r="AH52" s="292">
        <v>47</v>
      </c>
      <c r="AI52" s="293"/>
      <c r="AJ52" s="292">
        <v>97</v>
      </c>
      <c r="AK52" s="293"/>
    </row>
    <row r="53" spans="1:47" ht="15" customHeight="1" x14ac:dyDescent="0.2">
      <c r="A53" s="373">
        <f t="shared" ca="1" si="2"/>
        <v>460</v>
      </c>
      <c r="B53" s="373"/>
      <c r="C53" s="373">
        <f t="shared" ca="1" si="3"/>
        <v>460</v>
      </c>
      <c r="D53" s="373"/>
      <c r="E53" s="151"/>
      <c r="F53" s="260"/>
      <c r="G53" s="261"/>
      <c r="H53" s="261"/>
      <c r="I53" s="261"/>
      <c r="J53" s="261"/>
      <c r="K53" s="261"/>
      <c r="L53" s="261"/>
      <c r="M53" s="261"/>
      <c r="N53" s="262"/>
      <c r="O53" s="260"/>
      <c r="P53" s="261"/>
      <c r="Q53" s="261"/>
      <c r="R53" s="261"/>
      <c r="S53" s="261"/>
      <c r="T53" s="262"/>
      <c r="U53" s="260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2"/>
      <c r="AH53" s="292">
        <v>48</v>
      </c>
      <c r="AI53" s="293"/>
      <c r="AJ53" s="292">
        <v>98</v>
      </c>
      <c r="AK53" s="293"/>
    </row>
    <row r="54" spans="1:47" s="5" customFormat="1" ht="15" customHeight="1" x14ac:dyDescent="0.2">
      <c r="A54" s="373">
        <f t="shared" ca="1" si="2"/>
        <v>460</v>
      </c>
      <c r="B54" s="373"/>
      <c r="C54" s="373">
        <f t="shared" ca="1" si="3"/>
        <v>460</v>
      </c>
      <c r="D54" s="373"/>
      <c r="E54" s="151"/>
      <c r="F54" s="257"/>
      <c r="G54" s="258"/>
      <c r="H54" s="258"/>
      <c r="I54" s="258"/>
      <c r="J54" s="258"/>
      <c r="K54" s="258"/>
      <c r="L54" s="258"/>
      <c r="M54" s="258"/>
      <c r="N54" s="259"/>
      <c r="O54" s="257"/>
      <c r="P54" s="258"/>
      <c r="Q54" s="258"/>
      <c r="R54" s="258"/>
      <c r="S54" s="258"/>
      <c r="T54" s="259"/>
      <c r="U54" s="257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9"/>
      <c r="AH54" s="292">
        <v>49</v>
      </c>
      <c r="AI54" s="293"/>
      <c r="AJ54" s="292">
        <v>99</v>
      </c>
      <c r="AK54" s="293"/>
      <c r="AP54" s="195"/>
      <c r="AQ54" s="195"/>
      <c r="AR54" s="195"/>
      <c r="AS54" s="195"/>
    </row>
    <row r="55" spans="1:47" s="5" customFormat="1" ht="15" customHeight="1" x14ac:dyDescent="0.2">
      <c r="A55" s="373">
        <f t="shared" ca="1" si="2"/>
        <v>460</v>
      </c>
      <c r="B55" s="373"/>
      <c r="C55" s="373">
        <f t="shared" ca="1" si="3"/>
        <v>460</v>
      </c>
      <c r="D55" s="373"/>
      <c r="E55" s="9"/>
      <c r="F55" s="260"/>
      <c r="G55" s="261"/>
      <c r="H55" s="261"/>
      <c r="I55" s="261"/>
      <c r="J55" s="261"/>
      <c r="K55" s="261"/>
      <c r="L55" s="261"/>
      <c r="M55" s="261"/>
      <c r="N55" s="262"/>
      <c r="O55" s="260"/>
      <c r="P55" s="261"/>
      <c r="Q55" s="261"/>
      <c r="R55" s="261"/>
      <c r="S55" s="261"/>
      <c r="T55" s="262"/>
      <c r="U55" s="260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2"/>
      <c r="AH55" s="292">
        <v>50</v>
      </c>
      <c r="AI55" s="293"/>
      <c r="AJ55" s="292">
        <v>100</v>
      </c>
      <c r="AK55" s="293"/>
      <c r="AL55" s="11"/>
      <c r="AM55" s="11"/>
      <c r="AP55" s="195"/>
      <c r="AQ55" s="195"/>
      <c r="AR55" s="195"/>
      <c r="AS55" s="195"/>
    </row>
    <row r="56" spans="1:47" s="5" customFormat="1" ht="15" customHeight="1" x14ac:dyDescent="0.2">
      <c r="A56" s="9"/>
      <c r="B56" s="9"/>
      <c r="C56" s="9"/>
      <c r="D56" s="9"/>
      <c r="E56" s="9"/>
      <c r="F56" s="43"/>
      <c r="G56" s="44"/>
      <c r="I56" s="45"/>
      <c r="J56" s="1"/>
      <c r="K56" s="1"/>
      <c r="L56" s="45"/>
      <c r="M56" s="45"/>
      <c r="U56" s="8"/>
      <c r="V56" s="8"/>
      <c r="W56" s="8"/>
      <c r="X56" s="8"/>
      <c r="AF56" s="1"/>
      <c r="AH56" s="149"/>
      <c r="AI56" s="149"/>
      <c r="AJ56" s="149"/>
      <c r="AK56" s="11"/>
      <c r="AL56" s="11"/>
      <c r="AM56" s="11"/>
      <c r="AP56" s="195"/>
      <c r="AQ56" s="195"/>
      <c r="AR56" s="195"/>
      <c r="AS56" s="195"/>
      <c r="AT56" s="195"/>
      <c r="AU56" s="195"/>
    </row>
    <row r="57" spans="1:47" s="5" customFormat="1" ht="15" customHeight="1" x14ac:dyDescent="0.2">
      <c r="A57" s="264" t="s">
        <v>338</v>
      </c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6"/>
      <c r="U57" s="8"/>
      <c r="V57" s="8"/>
      <c r="W57" s="8"/>
      <c r="X57" s="8"/>
      <c r="AK57" s="11"/>
      <c r="AL57" s="11"/>
      <c r="AP57" s="195"/>
      <c r="AQ57" s="195"/>
      <c r="AR57" s="195"/>
      <c r="AS57" s="195"/>
      <c r="AT57" s="195"/>
      <c r="AU57" s="195"/>
    </row>
    <row r="58" spans="1:47" ht="15" customHeight="1" x14ac:dyDescent="0.2">
      <c r="A58" s="267"/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9"/>
      <c r="M58" s="45"/>
      <c r="U58" s="8"/>
      <c r="V58" s="8"/>
      <c r="W58" s="8"/>
      <c r="X58" s="8"/>
      <c r="AK58" s="5"/>
      <c r="AL58" s="5"/>
    </row>
    <row r="59" spans="1:47" ht="15" customHeight="1" x14ac:dyDescent="0.2">
      <c r="A59" s="264" t="s">
        <v>330</v>
      </c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6"/>
      <c r="M59" s="270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2"/>
      <c r="Z59" s="276" t="s">
        <v>335</v>
      </c>
      <c r="AA59" s="276"/>
      <c r="AB59" s="276"/>
      <c r="AC59" s="276"/>
      <c r="AD59" s="276"/>
      <c r="AE59" s="255"/>
      <c r="AF59" s="255"/>
      <c r="AG59" s="255"/>
      <c r="AH59" s="255"/>
      <c r="AI59" s="255"/>
      <c r="AJ59" s="255"/>
      <c r="AK59" s="5"/>
      <c r="AL59" s="5"/>
    </row>
    <row r="60" spans="1:47" ht="15" customHeight="1" x14ac:dyDescent="0.2">
      <c r="A60" s="267"/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9"/>
      <c r="M60" s="273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5"/>
      <c r="Z60" s="276"/>
      <c r="AA60" s="276"/>
      <c r="AB60" s="276"/>
      <c r="AC60" s="276"/>
      <c r="AD60" s="276"/>
      <c r="AE60" s="255"/>
      <c r="AF60" s="255"/>
      <c r="AG60" s="255"/>
      <c r="AH60" s="255"/>
      <c r="AI60" s="255"/>
      <c r="AJ60" s="255"/>
    </row>
    <row r="61" spans="1:47" ht="15" customHeight="1" x14ac:dyDescent="0.2">
      <c r="A61" s="277"/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9"/>
      <c r="Z61" s="276" t="s">
        <v>331</v>
      </c>
      <c r="AA61" s="276"/>
      <c r="AB61" s="276"/>
      <c r="AC61" s="276"/>
      <c r="AD61" s="276"/>
      <c r="AE61" s="255"/>
      <c r="AF61" s="255"/>
      <c r="AG61" s="255"/>
      <c r="AH61" s="255"/>
      <c r="AI61" s="255"/>
      <c r="AJ61" s="255"/>
    </row>
    <row r="62" spans="1:47" ht="15" customHeight="1" x14ac:dyDescent="0.2">
      <c r="A62" s="280"/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1"/>
      <c r="W62" s="281"/>
      <c r="X62" s="281"/>
      <c r="Y62" s="282"/>
      <c r="Z62" s="276"/>
      <c r="AA62" s="276"/>
      <c r="AB62" s="276"/>
      <c r="AC62" s="276"/>
      <c r="AD62" s="276"/>
      <c r="AE62" s="255"/>
      <c r="AF62" s="255"/>
      <c r="AG62" s="255"/>
      <c r="AH62" s="255"/>
      <c r="AI62" s="255"/>
      <c r="AJ62" s="255"/>
    </row>
    <row r="63" spans="1:47" ht="15" customHeight="1" x14ac:dyDescent="0.2">
      <c r="A63" s="280"/>
      <c r="B63" s="281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2"/>
      <c r="Z63" s="276" t="s">
        <v>334</v>
      </c>
      <c r="AA63" s="276"/>
      <c r="AB63" s="276"/>
      <c r="AC63" s="276"/>
      <c r="AD63" s="276"/>
      <c r="AE63" s="255"/>
      <c r="AF63" s="255"/>
      <c r="AG63" s="255"/>
      <c r="AH63" s="255"/>
      <c r="AI63" s="255"/>
      <c r="AJ63" s="255"/>
    </row>
    <row r="64" spans="1:47" ht="15" customHeight="1" x14ac:dyDescent="0.2">
      <c r="A64" s="280"/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2"/>
      <c r="Z64" s="276"/>
      <c r="AA64" s="276"/>
      <c r="AB64" s="276"/>
      <c r="AC64" s="276"/>
      <c r="AD64" s="276"/>
      <c r="AE64" s="255"/>
      <c r="AF64" s="255"/>
      <c r="AG64" s="255"/>
      <c r="AH64" s="255"/>
      <c r="AI64" s="255"/>
      <c r="AJ64" s="255"/>
    </row>
    <row r="65" spans="1:36" ht="15" customHeight="1" x14ac:dyDescent="0.2">
      <c r="A65" s="280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2"/>
      <c r="Z65" s="276" t="s">
        <v>333</v>
      </c>
      <c r="AA65" s="276"/>
      <c r="AB65" s="276"/>
      <c r="AC65" s="276"/>
      <c r="AD65" s="276"/>
      <c r="AE65" s="255"/>
      <c r="AF65" s="255"/>
      <c r="AG65" s="255"/>
      <c r="AH65" s="255"/>
      <c r="AI65" s="255"/>
      <c r="AJ65" s="255"/>
    </row>
    <row r="66" spans="1:36" ht="15" customHeight="1" x14ac:dyDescent="0.2">
      <c r="A66" s="280"/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2"/>
      <c r="Z66" s="276"/>
      <c r="AA66" s="276"/>
      <c r="AB66" s="276"/>
      <c r="AC66" s="276"/>
      <c r="AD66" s="276"/>
      <c r="AE66" s="255"/>
      <c r="AF66" s="255"/>
      <c r="AG66" s="255"/>
      <c r="AH66" s="255"/>
      <c r="AI66" s="255"/>
      <c r="AJ66" s="255"/>
    </row>
    <row r="67" spans="1:36" ht="15" customHeight="1" x14ac:dyDescent="0.2">
      <c r="A67" s="280"/>
      <c r="B67" s="281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2"/>
      <c r="Z67" s="276" t="s">
        <v>332</v>
      </c>
      <c r="AA67" s="276"/>
      <c r="AB67" s="276"/>
      <c r="AC67" s="276"/>
      <c r="AD67" s="276"/>
      <c r="AE67" s="255"/>
      <c r="AF67" s="255"/>
      <c r="AG67" s="255"/>
      <c r="AH67" s="255"/>
      <c r="AI67" s="255"/>
      <c r="AJ67" s="255"/>
    </row>
    <row r="68" spans="1:36" ht="15" customHeight="1" x14ac:dyDescent="0.2">
      <c r="A68" s="283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5"/>
      <c r="Z68" s="276"/>
      <c r="AA68" s="276"/>
      <c r="AB68" s="276"/>
      <c r="AC68" s="276"/>
      <c r="AD68" s="276"/>
      <c r="AE68" s="255"/>
      <c r="AF68" s="255"/>
      <c r="AG68" s="255"/>
      <c r="AH68" s="255"/>
      <c r="AI68" s="255"/>
      <c r="AJ68" s="255"/>
    </row>
    <row r="69" spans="1:36" ht="15" customHeight="1" x14ac:dyDescent="0.2">
      <c r="A69" s="10"/>
      <c r="B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</row>
    <row r="70" spans="1:36" ht="15" customHeight="1" x14ac:dyDescent="0.2">
      <c r="A70" s="254" t="s">
        <v>339</v>
      </c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Z70" s="10"/>
      <c r="AA70" s="10"/>
      <c r="AB70" s="10"/>
      <c r="AC70" s="10"/>
      <c r="AD70" s="10"/>
      <c r="AE70" s="10"/>
      <c r="AF70" s="10"/>
    </row>
    <row r="71" spans="1:36" ht="15" customHeight="1" x14ac:dyDescent="0.2">
      <c r="A71" s="254"/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W71" s="10"/>
      <c r="X71" s="10"/>
      <c r="Y71" s="10"/>
      <c r="Z71" s="10"/>
      <c r="AA71" s="10"/>
      <c r="AB71" s="10"/>
      <c r="AC71" s="10"/>
      <c r="AD71" s="10"/>
      <c r="AE71" s="10"/>
      <c r="AF71" s="10"/>
    </row>
    <row r="72" spans="1:36" ht="15" customHeight="1" x14ac:dyDescent="0.2">
      <c r="A72" s="254" t="s">
        <v>340</v>
      </c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</row>
    <row r="73" spans="1:36" ht="15" customHeight="1" x14ac:dyDescent="0.2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</row>
    <row r="74" spans="1:36" ht="15" customHeight="1" x14ac:dyDescent="0.2">
      <c r="A74" s="254" t="s">
        <v>341</v>
      </c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254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</row>
    <row r="75" spans="1:36" ht="15" customHeight="1" x14ac:dyDescent="0.2">
      <c r="A75" s="254"/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</row>
    <row r="76" spans="1:36" ht="15" customHeight="1" x14ac:dyDescent="0.2">
      <c r="A76" s="254" t="s">
        <v>344</v>
      </c>
      <c r="B76" s="254"/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</row>
    <row r="77" spans="1:36" ht="15" customHeight="1" x14ac:dyDescent="0.2">
      <c r="A77" s="254"/>
      <c r="B77" s="254"/>
      <c r="C77" s="254"/>
      <c r="D77" s="254"/>
      <c r="E77" s="254"/>
      <c r="F77" s="254"/>
      <c r="G77" s="254"/>
      <c r="H77" s="254"/>
      <c r="I77" s="254"/>
      <c r="J77" s="254"/>
      <c r="K77" s="254"/>
      <c r="L77" s="254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</row>
    <row r="78" spans="1:36" ht="15" customHeight="1" x14ac:dyDescent="0.2">
      <c r="A78" s="10"/>
      <c r="B78" s="10"/>
      <c r="X78" s="10"/>
      <c r="Y78" s="10"/>
      <c r="Z78" s="10"/>
      <c r="AA78" s="10"/>
      <c r="AB78" s="10"/>
      <c r="AC78" s="10"/>
      <c r="AD78" s="10"/>
      <c r="AE78" s="10"/>
      <c r="AF78" s="10"/>
    </row>
    <row r="79" spans="1:36" ht="15" customHeight="1" x14ac:dyDescent="0.2">
      <c r="A79" s="254" t="s">
        <v>342</v>
      </c>
      <c r="B79" s="25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X79" s="10"/>
      <c r="Y79" s="10"/>
      <c r="Z79" s="10"/>
      <c r="AA79" s="10"/>
      <c r="AB79" s="10"/>
      <c r="AC79" s="10"/>
      <c r="AD79" s="10"/>
      <c r="AE79" s="10"/>
      <c r="AF79" s="10"/>
    </row>
    <row r="80" spans="1:36" ht="15" customHeight="1" x14ac:dyDescent="0.2">
      <c r="A80" s="256"/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</row>
    <row r="81" spans="1:36" ht="15" customHeight="1" x14ac:dyDescent="0.2">
      <c r="A81" s="251"/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3"/>
    </row>
    <row r="82" spans="1:36" ht="15" customHeight="1" x14ac:dyDescent="0.2">
      <c r="A82" s="251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3"/>
    </row>
    <row r="83" spans="1:36" ht="15" customHeight="1" x14ac:dyDescent="0.2">
      <c r="A83" s="251"/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3"/>
    </row>
    <row r="84" spans="1:36" ht="15" customHeight="1" x14ac:dyDescent="0.2">
      <c r="A84" s="251"/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3"/>
    </row>
    <row r="85" spans="1:36" ht="15" customHeight="1" x14ac:dyDescent="0.2">
      <c r="A85" s="251"/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3"/>
    </row>
    <row r="86" spans="1:36" ht="15" customHeight="1" x14ac:dyDescent="0.2">
      <c r="A86" s="251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52"/>
      <c r="AG86" s="252"/>
      <c r="AH86" s="252"/>
      <c r="AI86" s="252"/>
      <c r="AJ86" s="253"/>
    </row>
    <row r="87" spans="1:36" ht="15" customHeight="1" x14ac:dyDescent="0.2">
      <c r="A87" s="251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3"/>
    </row>
    <row r="88" spans="1:36" ht="15" customHeight="1" x14ac:dyDescent="0.2">
      <c r="A88" s="251"/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52"/>
      <c r="AG88" s="252"/>
      <c r="AH88" s="252"/>
      <c r="AI88" s="252"/>
      <c r="AJ88" s="253"/>
    </row>
    <row r="89" spans="1:36" ht="15" customHeight="1" x14ac:dyDescent="0.2">
      <c r="A89" s="251"/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2"/>
      <c r="AH89" s="252"/>
      <c r="AI89" s="252"/>
      <c r="AJ89" s="253"/>
    </row>
    <row r="90" spans="1:36" ht="15" customHeight="1" x14ac:dyDescent="0.2">
      <c r="A90" s="251"/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3"/>
    </row>
    <row r="91" spans="1:36" ht="15" customHeight="1" x14ac:dyDescent="0.2">
      <c r="A91" s="251"/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52"/>
      <c r="AH91" s="252"/>
      <c r="AI91" s="252"/>
      <c r="AJ91" s="253"/>
    </row>
    <row r="92" spans="1:36" ht="15" customHeight="1" x14ac:dyDescent="0.2">
      <c r="A92" s="251"/>
      <c r="B92" s="252"/>
      <c r="C92" s="252" t="s">
        <v>336</v>
      </c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3"/>
    </row>
    <row r="93" spans="1:36" ht="15" customHeight="1" x14ac:dyDescent="0.2">
      <c r="A93" s="251"/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3"/>
    </row>
    <row r="94" spans="1:36" ht="15" customHeight="1" x14ac:dyDescent="0.2">
      <c r="A94" s="251"/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52"/>
      <c r="AI94" s="252"/>
      <c r="AJ94" s="253"/>
    </row>
    <row r="95" spans="1:36" ht="15" customHeight="1" x14ac:dyDescent="0.2">
      <c r="A95" s="251"/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52"/>
      <c r="AG95" s="252"/>
      <c r="AH95" s="252"/>
      <c r="AI95" s="252"/>
      <c r="AJ95" s="253"/>
    </row>
    <row r="96" spans="1:36" ht="15" customHeight="1" x14ac:dyDescent="0.2">
      <c r="A96" s="251"/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2"/>
      <c r="AH96" s="252"/>
      <c r="AI96" s="252"/>
      <c r="AJ96" s="253"/>
    </row>
    <row r="97" spans="1:36" ht="15" customHeight="1" x14ac:dyDescent="0.2">
      <c r="A97" s="251"/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3"/>
    </row>
    <row r="98" spans="1:36" ht="15" customHeight="1" x14ac:dyDescent="0.2">
      <c r="A98" s="251"/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3"/>
    </row>
    <row r="99" spans="1:36" ht="15" customHeight="1" x14ac:dyDescent="0.2">
      <c r="A99" s="251"/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2"/>
      <c r="AH99" s="252"/>
      <c r="AI99" s="252"/>
      <c r="AJ99" s="253"/>
    </row>
    <row r="100" spans="1:36" ht="15" customHeight="1" x14ac:dyDescent="0.2">
      <c r="A100" s="251"/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3"/>
    </row>
    <row r="101" spans="1:36" ht="15" customHeight="1" x14ac:dyDescent="0.2">
      <c r="A101" s="251"/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3"/>
    </row>
    <row r="102" spans="1:36" ht="15" customHeight="1" x14ac:dyDescent="0.2">
      <c r="A102" s="251"/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2"/>
      <c r="AJ102" s="253"/>
    </row>
    <row r="103" spans="1:36" ht="15" customHeight="1" x14ac:dyDescent="0.2">
      <c r="A103" s="251"/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3"/>
    </row>
    <row r="104" spans="1:36" ht="15" customHeight="1" x14ac:dyDescent="0.2">
      <c r="A104" s="251"/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  <c r="AH104" s="252"/>
      <c r="AI104" s="252"/>
      <c r="AJ104" s="253"/>
    </row>
    <row r="105" spans="1:36" ht="15" customHeight="1" x14ac:dyDescent="0.2">
      <c r="A105" s="251"/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52"/>
      <c r="AG105" s="252"/>
      <c r="AH105" s="252"/>
      <c r="AI105" s="252"/>
      <c r="AJ105" s="253"/>
    </row>
    <row r="106" spans="1:36" ht="15" customHeight="1" x14ac:dyDescent="0.2">
      <c r="A106" s="251"/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253"/>
    </row>
    <row r="107" spans="1:36" ht="15" customHeight="1" x14ac:dyDescent="0.2">
      <c r="A107" s="251"/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2"/>
      <c r="AJ107" s="253"/>
    </row>
    <row r="108" spans="1:36" ht="15" customHeight="1" x14ac:dyDescent="0.2">
      <c r="A108" s="251"/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52"/>
      <c r="AG108" s="252"/>
      <c r="AH108" s="252"/>
      <c r="AI108" s="252"/>
      <c r="AJ108" s="253"/>
    </row>
    <row r="109" spans="1:36" ht="15" customHeight="1" x14ac:dyDescent="0.2">
      <c r="A109" s="251"/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52"/>
      <c r="AG109" s="252"/>
      <c r="AH109" s="252"/>
      <c r="AI109" s="252"/>
      <c r="AJ109" s="253"/>
    </row>
    <row r="110" spans="1:36" ht="15" customHeight="1" x14ac:dyDescent="0.2">
      <c r="A110" s="251"/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  <c r="Z110" s="252"/>
      <c r="AA110" s="252"/>
      <c r="AB110" s="252"/>
      <c r="AC110" s="252"/>
      <c r="AD110" s="252"/>
      <c r="AE110" s="252"/>
      <c r="AF110" s="252"/>
      <c r="AG110" s="252"/>
      <c r="AH110" s="252"/>
      <c r="AI110" s="252"/>
      <c r="AJ110" s="253"/>
    </row>
    <row r="111" spans="1:36" ht="15" customHeight="1" x14ac:dyDescent="0.2">
      <c r="A111" s="10"/>
      <c r="B111" s="10"/>
      <c r="C111" s="10"/>
      <c r="D111" s="10"/>
      <c r="E111" s="15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</row>
    <row r="112" spans="1:36" x14ac:dyDescent="0.2">
      <c r="A112" s="10"/>
      <c r="B112" s="10"/>
      <c r="C112" s="10"/>
      <c r="D112" s="10"/>
      <c r="E112" s="15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</row>
    <row r="113" spans="1:32" x14ac:dyDescent="0.2">
      <c r="A113" s="10"/>
      <c r="B113" s="10"/>
      <c r="C113" s="10"/>
      <c r="D113" s="10"/>
      <c r="E113" s="15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</row>
    <row r="114" spans="1:32" x14ac:dyDescent="0.2">
      <c r="A114" s="10"/>
      <c r="B114" s="10"/>
      <c r="C114" s="10"/>
      <c r="D114" s="10"/>
      <c r="E114" s="152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</row>
    <row r="115" spans="1:32" x14ac:dyDescent="0.2">
      <c r="A115" s="10"/>
      <c r="B115" s="10"/>
      <c r="C115" s="10"/>
      <c r="D115" s="10"/>
      <c r="E115" s="152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</row>
    <row r="116" spans="1:32" x14ac:dyDescent="0.2">
      <c r="A116" s="10"/>
      <c r="B116" s="10"/>
      <c r="C116" s="10"/>
      <c r="D116" s="10"/>
      <c r="E116" s="152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</row>
    <row r="117" spans="1:32" x14ac:dyDescent="0.2">
      <c r="A117" s="10"/>
      <c r="B117" s="10"/>
      <c r="C117" s="10"/>
      <c r="D117" s="10"/>
      <c r="E117" s="152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</row>
    <row r="118" spans="1:32" x14ac:dyDescent="0.2">
      <c r="A118" s="10"/>
      <c r="B118" s="10"/>
      <c r="C118" s="10"/>
      <c r="D118" s="10"/>
      <c r="E118" s="152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</row>
    <row r="119" spans="1:32" x14ac:dyDescent="0.2">
      <c r="A119" s="10"/>
      <c r="B119" s="10"/>
      <c r="C119" s="10"/>
      <c r="D119" s="10"/>
      <c r="E119" s="152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</row>
    <row r="120" spans="1:32" x14ac:dyDescent="0.2">
      <c r="A120" s="10"/>
      <c r="B120" s="10"/>
      <c r="C120" s="10"/>
      <c r="D120" s="10"/>
      <c r="E120" s="152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</row>
    <row r="121" spans="1:32" x14ac:dyDescent="0.2">
      <c r="A121" s="10"/>
      <c r="B121" s="10"/>
      <c r="C121" s="10"/>
      <c r="D121" s="10"/>
      <c r="E121" s="152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</row>
    <row r="122" spans="1:32" x14ac:dyDescent="0.2">
      <c r="A122" s="10"/>
      <c r="B122" s="10"/>
      <c r="C122" s="10"/>
      <c r="D122" s="10"/>
      <c r="E122" s="152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</row>
    <row r="123" spans="1:32" x14ac:dyDescent="0.2">
      <c r="A123" s="10"/>
      <c r="B123" s="10"/>
      <c r="C123" s="10"/>
      <c r="D123" s="10"/>
      <c r="E123" s="152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</row>
    <row r="124" spans="1:32" x14ac:dyDescent="0.2">
      <c r="A124" s="10"/>
      <c r="B124" s="10"/>
      <c r="C124" s="10"/>
      <c r="D124" s="10"/>
      <c r="E124" s="152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</row>
    <row r="125" spans="1:32" x14ac:dyDescent="0.2">
      <c r="A125" s="10"/>
      <c r="B125" s="10"/>
      <c r="C125" s="10"/>
      <c r="D125" s="10"/>
      <c r="E125" s="152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</row>
    <row r="126" spans="1:32" x14ac:dyDescent="0.2">
      <c r="A126" s="10"/>
      <c r="B126" s="10"/>
      <c r="C126" s="10"/>
      <c r="D126" s="10"/>
      <c r="E126" s="152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</row>
    <row r="127" spans="1:32" x14ac:dyDescent="0.2">
      <c r="A127" s="10"/>
      <c r="B127" s="10"/>
      <c r="C127" s="10"/>
      <c r="D127" s="10"/>
      <c r="E127" s="152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</row>
    <row r="128" spans="1:32" x14ac:dyDescent="0.2">
      <c r="A128" s="10"/>
      <c r="B128" s="10"/>
      <c r="C128" s="10"/>
      <c r="D128" s="10"/>
      <c r="E128" s="152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</row>
    <row r="129" spans="1:32" x14ac:dyDescent="0.2">
      <c r="A129" s="10"/>
      <c r="B129" s="10"/>
      <c r="C129" s="10"/>
      <c r="D129" s="10"/>
      <c r="E129" s="152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</row>
    <row r="130" spans="1:32" x14ac:dyDescent="0.2">
      <c r="A130" s="10"/>
      <c r="B130" s="10"/>
      <c r="C130" s="10"/>
      <c r="D130" s="10"/>
      <c r="E130" s="152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</row>
    <row r="131" spans="1:32" x14ac:dyDescent="0.2">
      <c r="A131" s="10"/>
      <c r="B131" s="10"/>
      <c r="C131" s="10"/>
      <c r="D131" s="10"/>
      <c r="E131" s="152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</row>
    <row r="132" spans="1:32" x14ac:dyDescent="0.2">
      <c r="A132" s="10"/>
      <c r="B132" s="10"/>
      <c r="C132" s="10"/>
      <c r="D132" s="10"/>
      <c r="E132" s="152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</row>
    <row r="133" spans="1:32" x14ac:dyDescent="0.2">
      <c r="A133" s="10"/>
      <c r="B133" s="10"/>
      <c r="C133" s="10"/>
      <c r="D133" s="10"/>
      <c r="E133" s="152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</row>
    <row r="134" spans="1:32" x14ac:dyDescent="0.2">
      <c r="A134" s="10"/>
      <c r="B134" s="10"/>
      <c r="C134" s="10"/>
      <c r="D134" s="10"/>
      <c r="E134" s="152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 spans="1:32" x14ac:dyDescent="0.2">
      <c r="A135" s="10"/>
      <c r="B135" s="10"/>
      <c r="C135" s="10"/>
      <c r="D135" s="10"/>
      <c r="E135" s="152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</row>
    <row r="136" spans="1:32" x14ac:dyDescent="0.2">
      <c r="A136" s="10"/>
      <c r="B136" s="10"/>
      <c r="C136" s="10"/>
      <c r="D136" s="10"/>
      <c r="E136" s="152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</row>
    <row r="137" spans="1:32" x14ac:dyDescent="0.2">
      <c r="A137" s="10"/>
      <c r="B137" s="10"/>
      <c r="C137" s="10"/>
      <c r="D137" s="10"/>
      <c r="E137" s="152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</row>
    <row r="138" spans="1:32" x14ac:dyDescent="0.2">
      <c r="A138" s="10"/>
      <c r="B138" s="10"/>
      <c r="C138" s="10"/>
      <c r="D138" s="10"/>
      <c r="E138" s="152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</row>
    <row r="139" spans="1:32" x14ac:dyDescent="0.2">
      <c r="A139" s="10"/>
      <c r="B139" s="10"/>
      <c r="C139" s="10"/>
      <c r="D139" s="10"/>
      <c r="E139" s="152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</row>
    <row r="140" spans="1:32" x14ac:dyDescent="0.2">
      <c r="A140" s="10"/>
      <c r="B140" s="10"/>
      <c r="C140" s="10"/>
      <c r="D140" s="10"/>
      <c r="E140" s="152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</row>
    <row r="141" spans="1:32" x14ac:dyDescent="0.2">
      <c r="A141" s="10"/>
      <c r="B141" s="10"/>
      <c r="C141" s="10"/>
      <c r="D141" s="10"/>
      <c r="E141" s="152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</row>
    <row r="142" spans="1:32" x14ac:dyDescent="0.2">
      <c r="A142" s="10"/>
      <c r="B142" s="10"/>
      <c r="C142" s="10"/>
      <c r="D142" s="10"/>
      <c r="E142" s="152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</row>
    <row r="143" spans="1:32" x14ac:dyDescent="0.2">
      <c r="A143" s="10"/>
      <c r="B143" s="10"/>
      <c r="C143" s="10"/>
      <c r="D143" s="10"/>
      <c r="E143" s="152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</row>
    <row r="144" spans="1:32" x14ac:dyDescent="0.2">
      <c r="A144" s="10"/>
      <c r="B144" s="10"/>
      <c r="C144" s="10"/>
      <c r="D144" s="10"/>
      <c r="E144" s="152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</row>
    <row r="145" spans="1:32" x14ac:dyDescent="0.2">
      <c r="A145" s="10"/>
      <c r="B145" s="10"/>
      <c r="C145" s="10"/>
      <c r="D145" s="10"/>
      <c r="E145" s="152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</row>
    <row r="146" spans="1:32" x14ac:dyDescent="0.2">
      <c r="A146" s="10"/>
      <c r="B146" s="10"/>
      <c r="C146" s="10"/>
      <c r="D146" s="10"/>
      <c r="E146" s="152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</row>
    <row r="147" spans="1:32" x14ac:dyDescent="0.2">
      <c r="A147" s="10"/>
      <c r="B147" s="10"/>
      <c r="C147" s="10"/>
      <c r="D147" s="10"/>
      <c r="E147" s="152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</row>
    <row r="148" spans="1:32" x14ac:dyDescent="0.2">
      <c r="A148" s="10"/>
      <c r="B148" s="10"/>
      <c r="C148" s="10"/>
      <c r="D148" s="10"/>
      <c r="E148" s="152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</row>
    <row r="149" spans="1:32" x14ac:dyDescent="0.2">
      <c r="A149" s="10"/>
      <c r="B149" s="10"/>
      <c r="C149" s="10"/>
      <c r="D149" s="10"/>
      <c r="E149" s="152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</row>
    <row r="150" spans="1:32" x14ac:dyDescent="0.2">
      <c r="A150" s="10"/>
      <c r="B150" s="10"/>
      <c r="C150" s="10"/>
      <c r="D150" s="10"/>
      <c r="E150" s="152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</row>
    <row r="151" spans="1:32" x14ac:dyDescent="0.2">
      <c r="A151" s="10"/>
      <c r="B151" s="10"/>
      <c r="C151" s="10"/>
      <c r="D151" s="10"/>
      <c r="E151" s="152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</row>
    <row r="152" spans="1:32" x14ac:dyDescent="0.2">
      <c r="A152" s="10"/>
      <c r="B152" s="10"/>
      <c r="C152" s="10"/>
      <c r="D152" s="10"/>
      <c r="E152" s="152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</row>
    <row r="153" spans="1:32" x14ac:dyDescent="0.2">
      <c r="A153" s="10"/>
      <c r="B153" s="10"/>
      <c r="C153" s="10"/>
      <c r="D153" s="10"/>
      <c r="E153" s="152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</row>
    <row r="154" spans="1:32" x14ac:dyDescent="0.2">
      <c r="A154" s="10"/>
      <c r="B154" s="10"/>
      <c r="C154" s="10"/>
      <c r="D154" s="10"/>
      <c r="E154" s="152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</row>
    <row r="155" spans="1:32" x14ac:dyDescent="0.2">
      <c r="A155" s="10"/>
      <c r="B155" s="10"/>
      <c r="C155" s="10"/>
      <c r="D155" s="10"/>
      <c r="E155" s="152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</row>
    <row r="156" spans="1:32" x14ac:dyDescent="0.2">
      <c r="A156" s="10"/>
      <c r="B156" s="10"/>
      <c r="C156" s="10"/>
      <c r="D156" s="10"/>
      <c r="E156" s="152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</row>
    <row r="157" spans="1:32" x14ac:dyDescent="0.2">
      <c r="A157" s="10"/>
      <c r="B157" s="10"/>
      <c r="C157" s="10"/>
      <c r="D157" s="10"/>
      <c r="E157" s="152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</row>
    <row r="158" spans="1:32" x14ac:dyDescent="0.2">
      <c r="A158" s="10"/>
      <c r="B158" s="10"/>
      <c r="C158" s="10"/>
      <c r="D158" s="10"/>
      <c r="E158" s="152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</row>
    <row r="159" spans="1:32" x14ac:dyDescent="0.2">
      <c r="A159" s="10"/>
      <c r="B159" s="10"/>
      <c r="C159" s="10"/>
      <c r="D159" s="10"/>
      <c r="E159" s="152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</row>
    <row r="160" spans="1:32" x14ac:dyDescent="0.2">
      <c r="A160" s="10"/>
      <c r="B160" s="10"/>
      <c r="C160" s="10"/>
      <c r="D160" s="10"/>
      <c r="E160" s="152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</row>
    <row r="161" spans="1:32" x14ac:dyDescent="0.2">
      <c r="A161" s="10"/>
      <c r="B161" s="10"/>
      <c r="C161" s="10"/>
      <c r="D161" s="10"/>
      <c r="E161" s="152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</row>
    <row r="162" spans="1:32" x14ac:dyDescent="0.2">
      <c r="A162" s="10"/>
      <c r="B162" s="10"/>
      <c r="C162" s="10"/>
      <c r="D162" s="10"/>
      <c r="E162" s="152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</row>
    <row r="163" spans="1:32" x14ac:dyDescent="0.2">
      <c r="A163" s="10"/>
      <c r="B163" s="10"/>
      <c r="C163" s="10"/>
      <c r="D163" s="10"/>
      <c r="E163" s="152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</row>
    <row r="164" spans="1:32" x14ac:dyDescent="0.2">
      <c r="A164" s="10"/>
      <c r="B164" s="10"/>
      <c r="C164" s="10"/>
      <c r="D164" s="10"/>
      <c r="E164" s="152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</row>
    <row r="165" spans="1:32" x14ac:dyDescent="0.2">
      <c r="A165" s="10"/>
      <c r="B165" s="10"/>
      <c r="C165" s="10"/>
      <c r="D165" s="10"/>
      <c r="E165" s="152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</row>
    <row r="166" spans="1:32" x14ac:dyDescent="0.2">
      <c r="A166" s="10"/>
      <c r="B166" s="10"/>
      <c r="C166" s="10"/>
      <c r="D166" s="10"/>
      <c r="E166" s="152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</row>
    <row r="167" spans="1:32" x14ac:dyDescent="0.2">
      <c r="A167" s="10"/>
      <c r="B167" s="10"/>
      <c r="C167" s="10"/>
      <c r="D167" s="10"/>
      <c r="E167" s="152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</row>
    <row r="168" spans="1:32" x14ac:dyDescent="0.2">
      <c r="A168" s="10"/>
      <c r="B168" s="10"/>
      <c r="C168" s="10"/>
      <c r="D168" s="10"/>
      <c r="E168" s="152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</row>
    <row r="169" spans="1:32" x14ac:dyDescent="0.2">
      <c r="A169" s="10"/>
      <c r="B169" s="10"/>
      <c r="C169" s="10"/>
      <c r="D169" s="10"/>
      <c r="E169" s="152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</row>
    <row r="170" spans="1:32" x14ac:dyDescent="0.2">
      <c r="A170" s="10"/>
      <c r="B170" s="10"/>
      <c r="C170" s="10"/>
      <c r="D170" s="10"/>
      <c r="E170" s="152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</row>
    <row r="171" spans="1:32" x14ac:dyDescent="0.2">
      <c r="A171" s="10"/>
      <c r="B171" s="10"/>
      <c r="C171" s="10"/>
      <c r="D171" s="10"/>
      <c r="E171" s="152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</row>
    <row r="172" spans="1:32" x14ac:dyDescent="0.2">
      <c r="A172" s="10"/>
      <c r="B172" s="10"/>
      <c r="C172" s="10"/>
      <c r="D172" s="10"/>
      <c r="E172" s="152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</row>
    <row r="173" spans="1:32" x14ac:dyDescent="0.2">
      <c r="A173" s="10"/>
      <c r="B173" s="10"/>
      <c r="C173" s="10"/>
      <c r="D173" s="10"/>
      <c r="E173" s="152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</row>
    <row r="174" spans="1:32" x14ac:dyDescent="0.2">
      <c r="A174" s="10"/>
      <c r="B174" s="10"/>
      <c r="C174" s="10"/>
      <c r="D174" s="10"/>
      <c r="E174" s="152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</row>
    <row r="175" spans="1:32" x14ac:dyDescent="0.2">
      <c r="A175" s="10"/>
      <c r="B175" s="10"/>
      <c r="C175" s="10"/>
      <c r="D175" s="10"/>
      <c r="E175" s="152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</row>
    <row r="176" spans="1:32" x14ac:dyDescent="0.2">
      <c r="A176" s="10"/>
      <c r="B176" s="10"/>
      <c r="C176" s="10"/>
      <c r="D176" s="10"/>
      <c r="E176" s="152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</row>
    <row r="177" spans="1:32" x14ac:dyDescent="0.2">
      <c r="A177" s="10"/>
      <c r="B177" s="10"/>
      <c r="C177" s="10"/>
      <c r="D177" s="10"/>
      <c r="E177" s="152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</row>
    <row r="178" spans="1:32" x14ac:dyDescent="0.2">
      <c r="A178" s="10"/>
      <c r="B178" s="10"/>
      <c r="C178" s="10"/>
      <c r="D178" s="10"/>
      <c r="E178" s="152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</row>
    <row r="179" spans="1:32" x14ac:dyDescent="0.2">
      <c r="A179" s="10"/>
      <c r="B179" s="10"/>
      <c r="C179" s="10"/>
      <c r="D179" s="10"/>
      <c r="E179" s="152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</row>
    <row r="180" spans="1:32" x14ac:dyDescent="0.2">
      <c r="A180" s="10"/>
      <c r="B180" s="10"/>
      <c r="C180" s="10"/>
      <c r="D180" s="10"/>
      <c r="E180" s="152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</row>
    <row r="181" spans="1:32" x14ac:dyDescent="0.2">
      <c r="A181" s="10"/>
      <c r="B181" s="10"/>
      <c r="C181" s="10"/>
      <c r="D181" s="10"/>
      <c r="E181" s="152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</row>
    <row r="182" spans="1:32" x14ac:dyDescent="0.2">
      <c r="A182" s="10"/>
      <c r="B182" s="10"/>
      <c r="C182" s="10"/>
      <c r="D182" s="10"/>
      <c r="E182" s="152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</row>
    <row r="183" spans="1:32" x14ac:dyDescent="0.2">
      <c r="A183" s="10"/>
      <c r="B183" s="10"/>
      <c r="C183" s="10"/>
      <c r="D183" s="10"/>
      <c r="E183" s="152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</row>
    <row r="184" spans="1:32" x14ac:dyDescent="0.2">
      <c r="A184" s="10"/>
      <c r="B184" s="10"/>
      <c r="C184" s="10"/>
      <c r="D184" s="10"/>
      <c r="E184" s="152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</row>
    <row r="185" spans="1:32" x14ac:dyDescent="0.2">
      <c r="A185" s="10"/>
      <c r="B185" s="10"/>
      <c r="C185" s="10"/>
      <c r="D185" s="10"/>
      <c r="E185" s="152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</row>
    <row r="186" spans="1:32" x14ac:dyDescent="0.2">
      <c r="A186" s="10"/>
      <c r="B186" s="10"/>
      <c r="C186" s="10"/>
      <c r="D186" s="10"/>
      <c r="E186" s="152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</row>
    <row r="187" spans="1:32" x14ac:dyDescent="0.2">
      <c r="A187" s="10"/>
      <c r="B187" s="10"/>
      <c r="C187" s="10"/>
      <c r="D187" s="10"/>
      <c r="E187" s="152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</row>
    <row r="188" spans="1:32" x14ac:dyDescent="0.2">
      <c r="A188" s="10"/>
      <c r="B188" s="10"/>
      <c r="C188" s="10"/>
      <c r="D188" s="10"/>
      <c r="E188" s="152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</row>
    <row r="189" spans="1:32" x14ac:dyDescent="0.2">
      <c r="A189" s="10"/>
      <c r="B189" s="10"/>
      <c r="C189" s="10"/>
      <c r="D189" s="10"/>
      <c r="E189" s="152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</row>
    <row r="190" spans="1:32" x14ac:dyDescent="0.2">
      <c r="A190" s="10"/>
      <c r="B190" s="10"/>
      <c r="C190" s="10"/>
      <c r="D190" s="10"/>
      <c r="E190" s="152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</row>
    <row r="191" spans="1:32" x14ac:dyDescent="0.2">
      <c r="A191" s="10"/>
      <c r="B191" s="10"/>
      <c r="C191" s="10"/>
      <c r="D191" s="10"/>
      <c r="E191" s="152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</row>
    <row r="192" spans="1:32" x14ac:dyDescent="0.2">
      <c r="A192" s="10"/>
      <c r="B192" s="10"/>
      <c r="C192" s="10"/>
      <c r="D192" s="10"/>
      <c r="E192" s="152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</row>
    <row r="193" spans="1:32" x14ac:dyDescent="0.2">
      <c r="A193" s="10"/>
      <c r="B193" s="10"/>
      <c r="C193" s="10"/>
      <c r="D193" s="10"/>
      <c r="E193" s="152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</row>
    <row r="194" spans="1:32" x14ac:dyDescent="0.2">
      <c r="A194" s="10"/>
      <c r="B194" s="10"/>
      <c r="C194" s="10"/>
      <c r="D194" s="10"/>
      <c r="E194" s="152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</row>
    <row r="195" spans="1:32" x14ac:dyDescent="0.2">
      <c r="A195" s="10"/>
      <c r="B195" s="10"/>
      <c r="C195" s="10"/>
      <c r="D195" s="10"/>
      <c r="E195" s="152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</row>
    <row r="196" spans="1:32" x14ac:dyDescent="0.2">
      <c r="A196" s="10"/>
      <c r="B196" s="10"/>
      <c r="C196" s="10"/>
      <c r="D196" s="10"/>
      <c r="E196" s="152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</row>
    <row r="197" spans="1:32" x14ac:dyDescent="0.2">
      <c r="A197" s="10"/>
      <c r="B197" s="10"/>
      <c r="C197" s="10"/>
      <c r="D197" s="10"/>
      <c r="E197" s="152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</row>
    <row r="198" spans="1:32" x14ac:dyDescent="0.2">
      <c r="A198" s="10"/>
      <c r="B198" s="10"/>
      <c r="C198" s="10"/>
      <c r="D198" s="10"/>
      <c r="E198" s="152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</row>
    <row r="199" spans="1:32" x14ac:dyDescent="0.2">
      <c r="A199" s="10"/>
      <c r="B199" s="10"/>
      <c r="C199" s="10"/>
      <c r="D199" s="10"/>
      <c r="E199" s="152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</row>
    <row r="200" spans="1:32" x14ac:dyDescent="0.2">
      <c r="A200" s="10"/>
      <c r="B200" s="10"/>
      <c r="C200" s="10"/>
      <c r="D200" s="10"/>
      <c r="E200" s="152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</row>
    <row r="201" spans="1:32" x14ac:dyDescent="0.2">
      <c r="A201" s="10"/>
      <c r="B201" s="10"/>
      <c r="C201" s="10"/>
      <c r="D201" s="10"/>
      <c r="E201" s="152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</row>
    <row r="202" spans="1:32" x14ac:dyDescent="0.2">
      <c r="A202" s="10"/>
      <c r="B202" s="10"/>
      <c r="C202" s="10"/>
      <c r="D202" s="10"/>
      <c r="E202" s="152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</row>
    <row r="203" spans="1:32" x14ac:dyDescent="0.2">
      <c r="A203" s="10"/>
      <c r="B203" s="10"/>
      <c r="C203" s="10"/>
      <c r="D203" s="10"/>
      <c r="E203" s="152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</row>
    <row r="204" spans="1:32" x14ac:dyDescent="0.2">
      <c r="A204" s="10"/>
      <c r="B204" s="10"/>
      <c r="C204" s="10"/>
      <c r="D204" s="10"/>
      <c r="E204" s="152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</row>
    <row r="205" spans="1:32" x14ac:dyDescent="0.2">
      <c r="A205" s="10"/>
      <c r="B205" s="10"/>
      <c r="C205" s="10"/>
      <c r="D205" s="10"/>
      <c r="E205" s="152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</row>
    <row r="206" spans="1:32" x14ac:dyDescent="0.2">
      <c r="A206" s="10"/>
      <c r="B206" s="10"/>
      <c r="C206" s="10"/>
      <c r="D206" s="10"/>
      <c r="E206" s="152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</row>
    <row r="207" spans="1:32" x14ac:dyDescent="0.2">
      <c r="A207" s="10"/>
      <c r="B207" s="10"/>
      <c r="C207" s="10"/>
      <c r="D207" s="10"/>
      <c r="E207" s="152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</row>
    <row r="208" spans="1:32" x14ac:dyDescent="0.2">
      <c r="A208" s="10"/>
      <c r="B208" s="10"/>
      <c r="C208" s="10"/>
      <c r="D208" s="10"/>
      <c r="E208" s="152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</row>
    <row r="209" spans="1:32" x14ac:dyDescent="0.2">
      <c r="A209" s="10"/>
      <c r="B209" s="10"/>
      <c r="C209" s="10"/>
      <c r="D209" s="10"/>
      <c r="E209" s="152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</row>
    <row r="210" spans="1:32" x14ac:dyDescent="0.2">
      <c r="A210" s="10"/>
      <c r="B210" s="10"/>
      <c r="C210" s="10"/>
      <c r="D210" s="10"/>
      <c r="E210" s="152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</row>
    <row r="211" spans="1:32" x14ac:dyDescent="0.2">
      <c r="A211" s="10"/>
      <c r="B211" s="10"/>
      <c r="C211" s="10"/>
      <c r="D211" s="10"/>
      <c r="E211" s="152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</row>
    <row r="212" spans="1:32" x14ac:dyDescent="0.2">
      <c r="A212" s="10"/>
      <c r="B212" s="10"/>
      <c r="C212" s="10"/>
      <c r="D212" s="10"/>
      <c r="E212" s="152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</row>
    <row r="213" spans="1:32" x14ac:dyDescent="0.2">
      <c r="A213" s="10"/>
      <c r="B213" s="10"/>
      <c r="C213" s="10"/>
      <c r="D213" s="10"/>
      <c r="E213" s="152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</row>
    <row r="214" spans="1:32" x14ac:dyDescent="0.2">
      <c r="A214" s="10"/>
      <c r="B214" s="10"/>
      <c r="C214" s="10"/>
      <c r="D214" s="10"/>
      <c r="E214" s="152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</row>
    <row r="215" spans="1:32" x14ac:dyDescent="0.2">
      <c r="A215" s="10"/>
      <c r="B215" s="10"/>
      <c r="C215" s="10"/>
      <c r="D215" s="10"/>
      <c r="E215" s="152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</row>
    <row r="216" spans="1:32" x14ac:dyDescent="0.2">
      <c r="A216" s="10"/>
      <c r="B216" s="10"/>
      <c r="C216" s="10"/>
      <c r="D216" s="10"/>
      <c r="E216" s="152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</row>
    <row r="217" spans="1:32" x14ac:dyDescent="0.2">
      <c r="A217" s="10"/>
      <c r="B217" s="10"/>
      <c r="C217" s="10"/>
      <c r="D217" s="10"/>
      <c r="E217" s="152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</row>
    <row r="218" spans="1:32" x14ac:dyDescent="0.2">
      <c r="A218" s="10"/>
      <c r="B218" s="10"/>
      <c r="C218" s="10"/>
      <c r="D218" s="10"/>
      <c r="E218" s="152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</row>
    <row r="219" spans="1:32" x14ac:dyDescent="0.2">
      <c r="A219" s="10"/>
      <c r="B219" s="10"/>
      <c r="C219" s="10"/>
      <c r="D219" s="10"/>
      <c r="E219" s="152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</row>
    <row r="220" spans="1:32" x14ac:dyDescent="0.2">
      <c r="A220" s="10"/>
      <c r="B220" s="10"/>
      <c r="C220" s="10"/>
      <c r="D220" s="10"/>
      <c r="E220" s="152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</row>
    <row r="221" spans="1:32" x14ac:dyDescent="0.2">
      <c r="A221" s="10"/>
      <c r="B221" s="10"/>
      <c r="C221" s="10"/>
      <c r="D221" s="10"/>
      <c r="E221" s="152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</row>
    <row r="222" spans="1:32" x14ac:dyDescent="0.2">
      <c r="A222" s="10"/>
      <c r="B222" s="10"/>
      <c r="C222" s="10"/>
      <c r="D222" s="10"/>
      <c r="E222" s="152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</row>
    <row r="223" spans="1:32" x14ac:dyDescent="0.2">
      <c r="A223" s="10"/>
      <c r="B223" s="10"/>
      <c r="C223" s="10"/>
      <c r="D223" s="10"/>
      <c r="E223" s="152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</row>
    <row r="224" spans="1:32" x14ac:dyDescent="0.2">
      <c r="A224" s="10"/>
      <c r="B224" s="10"/>
      <c r="C224" s="10"/>
      <c r="D224" s="10"/>
      <c r="E224" s="152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</row>
    <row r="225" spans="1:32" x14ac:dyDescent="0.2">
      <c r="A225" s="10"/>
      <c r="B225" s="10"/>
      <c r="C225" s="10"/>
      <c r="D225" s="10"/>
      <c r="E225" s="152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</row>
    <row r="226" spans="1:32" x14ac:dyDescent="0.2">
      <c r="A226" s="10"/>
      <c r="B226" s="10"/>
      <c r="C226" s="10"/>
      <c r="D226" s="10"/>
      <c r="E226" s="152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</row>
    <row r="227" spans="1:32" x14ac:dyDescent="0.2">
      <c r="A227" s="10"/>
      <c r="B227" s="10"/>
      <c r="C227" s="10"/>
      <c r="D227" s="10"/>
      <c r="E227" s="152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</row>
    <row r="228" spans="1:32" x14ac:dyDescent="0.2">
      <c r="A228" s="10"/>
      <c r="B228" s="10"/>
      <c r="C228" s="10"/>
      <c r="D228" s="10"/>
      <c r="E228" s="152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</row>
    <row r="229" spans="1:32" x14ac:dyDescent="0.2">
      <c r="A229" s="10"/>
      <c r="B229" s="10"/>
      <c r="C229" s="10"/>
      <c r="D229" s="10"/>
      <c r="E229" s="152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</row>
    <row r="230" spans="1:32" x14ac:dyDescent="0.2">
      <c r="A230" s="10"/>
      <c r="B230" s="10"/>
      <c r="C230" s="10"/>
      <c r="D230" s="10"/>
      <c r="E230" s="152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</row>
    <row r="231" spans="1:32" x14ac:dyDescent="0.2">
      <c r="A231" s="10"/>
      <c r="B231" s="10"/>
      <c r="C231" s="10"/>
      <c r="D231" s="10"/>
      <c r="E231" s="152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</row>
    <row r="232" spans="1:32" x14ac:dyDescent="0.2">
      <c r="A232" s="10"/>
      <c r="B232" s="10"/>
      <c r="C232" s="10"/>
      <c r="D232" s="10"/>
      <c r="E232" s="152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</row>
    <row r="233" spans="1:32" x14ac:dyDescent="0.2">
      <c r="A233" s="10"/>
      <c r="B233" s="10"/>
      <c r="C233" s="10"/>
      <c r="D233" s="10"/>
      <c r="E233" s="152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</row>
    <row r="234" spans="1:32" x14ac:dyDescent="0.2">
      <c r="A234" s="10"/>
      <c r="B234" s="10"/>
      <c r="C234" s="10"/>
      <c r="D234" s="10"/>
      <c r="E234" s="152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</row>
    <row r="235" spans="1:32" x14ac:dyDescent="0.2">
      <c r="A235" s="10"/>
      <c r="B235" s="10"/>
      <c r="C235" s="10"/>
      <c r="D235" s="10"/>
      <c r="E235" s="152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</row>
    <row r="236" spans="1:32" x14ac:dyDescent="0.2">
      <c r="A236" s="10"/>
      <c r="B236" s="10"/>
      <c r="C236" s="10"/>
      <c r="D236" s="10"/>
      <c r="E236" s="152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</row>
    <row r="237" spans="1:32" x14ac:dyDescent="0.2">
      <c r="A237" s="10"/>
      <c r="B237" s="10"/>
      <c r="C237" s="10"/>
      <c r="D237" s="10"/>
      <c r="E237" s="152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</row>
    <row r="238" spans="1:32" x14ac:dyDescent="0.2">
      <c r="A238" s="10"/>
      <c r="B238" s="10"/>
      <c r="C238" s="10"/>
      <c r="D238" s="10"/>
      <c r="E238" s="152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</row>
    <row r="239" spans="1:32" x14ac:dyDescent="0.2">
      <c r="A239" s="10"/>
      <c r="B239" s="10"/>
      <c r="C239" s="10"/>
      <c r="D239" s="10"/>
      <c r="E239" s="152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</row>
    <row r="240" spans="1:32" x14ac:dyDescent="0.2">
      <c r="A240" s="10"/>
      <c r="B240" s="10"/>
      <c r="C240" s="10"/>
      <c r="D240" s="10"/>
      <c r="E240" s="152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</row>
    <row r="241" spans="1:32" x14ac:dyDescent="0.2">
      <c r="A241" s="10"/>
      <c r="B241" s="10"/>
      <c r="C241" s="10"/>
      <c r="D241" s="10"/>
      <c r="E241" s="152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</row>
    <row r="242" spans="1:32" x14ac:dyDescent="0.2">
      <c r="A242" s="10"/>
      <c r="B242" s="10"/>
      <c r="C242" s="10"/>
      <c r="D242" s="10"/>
      <c r="E242" s="152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</row>
    <row r="243" spans="1:32" x14ac:dyDescent="0.2">
      <c r="A243" s="10"/>
      <c r="B243" s="10"/>
      <c r="C243" s="10"/>
      <c r="D243" s="10"/>
      <c r="E243" s="152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</row>
    <row r="244" spans="1:32" x14ac:dyDescent="0.2">
      <c r="A244" s="10"/>
      <c r="B244" s="10"/>
      <c r="C244" s="10"/>
      <c r="D244" s="10"/>
      <c r="E244" s="152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</row>
    <row r="245" spans="1:32" x14ac:dyDescent="0.2">
      <c r="A245" s="10"/>
      <c r="B245" s="10"/>
      <c r="C245" s="10"/>
      <c r="D245" s="10"/>
      <c r="E245" s="152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</row>
    <row r="246" spans="1:32" x14ac:dyDescent="0.2">
      <c r="A246" s="10"/>
      <c r="B246" s="10"/>
      <c r="C246" s="10"/>
      <c r="D246" s="10"/>
      <c r="E246" s="152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</row>
    <row r="247" spans="1:32" x14ac:dyDescent="0.2">
      <c r="A247" s="10"/>
      <c r="B247" s="10"/>
      <c r="C247" s="10"/>
      <c r="D247" s="10"/>
      <c r="E247" s="152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</row>
    <row r="248" spans="1:32" x14ac:dyDescent="0.2">
      <c r="A248" s="10"/>
      <c r="B248" s="10"/>
      <c r="C248" s="10"/>
      <c r="D248" s="10"/>
      <c r="E248" s="152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</row>
    <row r="249" spans="1:32" x14ac:dyDescent="0.2">
      <c r="A249" s="10"/>
      <c r="B249" s="10"/>
      <c r="C249" s="10"/>
      <c r="D249" s="10"/>
      <c r="E249" s="152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</row>
    <row r="250" spans="1:32" x14ac:dyDescent="0.2">
      <c r="A250" s="10"/>
      <c r="B250" s="10"/>
      <c r="C250" s="10"/>
      <c r="D250" s="10"/>
      <c r="E250" s="152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</row>
    <row r="251" spans="1:32" x14ac:dyDescent="0.2">
      <c r="A251" s="10"/>
      <c r="B251" s="10"/>
      <c r="C251" s="10"/>
      <c r="D251" s="10"/>
      <c r="E251" s="152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</row>
    <row r="252" spans="1:32" x14ac:dyDescent="0.2">
      <c r="A252" s="10"/>
      <c r="B252" s="10"/>
      <c r="C252" s="10"/>
      <c r="D252" s="10"/>
      <c r="E252" s="152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</row>
    <row r="253" spans="1:32" x14ac:dyDescent="0.2">
      <c r="A253" s="10"/>
      <c r="B253" s="10"/>
      <c r="C253" s="10"/>
      <c r="D253" s="10"/>
      <c r="E253" s="152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</row>
    <row r="254" spans="1:32" x14ac:dyDescent="0.2">
      <c r="A254" s="10"/>
      <c r="B254" s="10"/>
      <c r="C254" s="10"/>
      <c r="D254" s="10"/>
      <c r="E254" s="152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</row>
    <row r="255" spans="1:32" x14ac:dyDescent="0.2">
      <c r="A255" s="10"/>
      <c r="B255" s="10"/>
      <c r="C255" s="10"/>
      <c r="D255" s="10"/>
      <c r="E255" s="152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</row>
    <row r="256" spans="1:32" x14ac:dyDescent="0.2">
      <c r="A256" s="10"/>
      <c r="B256" s="10"/>
      <c r="C256" s="10"/>
      <c r="D256" s="10"/>
      <c r="E256" s="152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</row>
    <row r="257" spans="1:32" x14ac:dyDescent="0.2">
      <c r="A257" s="10"/>
      <c r="B257" s="10"/>
      <c r="C257" s="10"/>
      <c r="D257" s="10"/>
      <c r="E257" s="152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</row>
    <row r="258" spans="1:32" x14ac:dyDescent="0.2">
      <c r="A258" s="10"/>
      <c r="B258" s="10"/>
      <c r="C258" s="10"/>
      <c r="D258" s="10"/>
      <c r="E258" s="152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</row>
    <row r="259" spans="1:32" x14ac:dyDescent="0.2">
      <c r="A259" s="10"/>
      <c r="B259" s="10"/>
      <c r="C259" s="10"/>
      <c r="D259" s="10"/>
      <c r="E259" s="152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</row>
    <row r="260" spans="1:32" x14ac:dyDescent="0.2">
      <c r="A260" s="10"/>
      <c r="B260" s="10"/>
      <c r="C260" s="10"/>
      <c r="D260" s="10"/>
      <c r="E260" s="152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</row>
    <row r="261" spans="1:32" x14ac:dyDescent="0.2">
      <c r="A261" s="10"/>
      <c r="B261" s="10"/>
      <c r="C261" s="10"/>
      <c r="D261" s="10"/>
      <c r="E261" s="152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</row>
    <row r="262" spans="1:32" x14ac:dyDescent="0.2">
      <c r="A262" s="10"/>
      <c r="B262" s="10"/>
      <c r="C262" s="10"/>
      <c r="D262" s="10"/>
      <c r="E262" s="152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</row>
    <row r="263" spans="1:32" x14ac:dyDescent="0.2">
      <c r="A263" s="10"/>
      <c r="B263" s="10"/>
      <c r="C263" s="10"/>
      <c r="D263" s="10"/>
      <c r="E263" s="152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</row>
    <row r="264" spans="1:32" x14ac:dyDescent="0.2">
      <c r="A264" s="10"/>
      <c r="B264" s="10"/>
      <c r="C264" s="10"/>
      <c r="D264" s="10"/>
      <c r="E264" s="152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</row>
    <row r="265" spans="1:32" x14ac:dyDescent="0.2">
      <c r="A265" s="10"/>
      <c r="B265" s="10"/>
      <c r="C265" s="10"/>
      <c r="D265" s="10"/>
      <c r="E265" s="152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</row>
    <row r="266" spans="1:32" x14ac:dyDescent="0.2">
      <c r="A266" s="10"/>
      <c r="B266" s="10"/>
      <c r="C266" s="10"/>
      <c r="D266" s="10"/>
      <c r="E266" s="152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</row>
    <row r="267" spans="1:32" x14ac:dyDescent="0.2">
      <c r="A267" s="10"/>
      <c r="B267" s="10"/>
      <c r="C267" s="10"/>
      <c r="D267" s="10"/>
      <c r="E267" s="152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</row>
    <row r="268" spans="1:32" x14ac:dyDescent="0.2">
      <c r="A268" s="10"/>
      <c r="B268" s="10"/>
      <c r="C268" s="10"/>
      <c r="D268" s="10"/>
      <c r="E268" s="152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</row>
    <row r="269" spans="1:32" x14ac:dyDescent="0.2">
      <c r="A269" s="10"/>
      <c r="B269" s="10"/>
      <c r="C269" s="10"/>
      <c r="D269" s="10"/>
      <c r="E269" s="152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</row>
    <row r="270" spans="1:32" x14ac:dyDescent="0.2">
      <c r="A270" s="10"/>
      <c r="B270" s="10"/>
      <c r="C270" s="10"/>
      <c r="D270" s="10"/>
      <c r="E270" s="152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</row>
    <row r="271" spans="1:32" x14ac:dyDescent="0.2">
      <c r="A271" s="10"/>
      <c r="B271" s="10"/>
      <c r="C271" s="10"/>
      <c r="D271" s="10"/>
      <c r="E271" s="152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</row>
    <row r="272" spans="1:32" x14ac:dyDescent="0.2">
      <c r="A272" s="10"/>
      <c r="B272" s="10"/>
      <c r="C272" s="10"/>
      <c r="D272" s="10"/>
      <c r="E272" s="152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</row>
    <row r="273" spans="1:32" x14ac:dyDescent="0.2">
      <c r="A273" s="10"/>
      <c r="B273" s="10"/>
      <c r="C273" s="10"/>
      <c r="D273" s="10"/>
      <c r="E273" s="152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</row>
    <row r="274" spans="1:32" x14ac:dyDescent="0.2">
      <c r="A274" s="10"/>
      <c r="B274" s="10"/>
      <c r="C274" s="10"/>
      <c r="D274" s="10"/>
      <c r="E274" s="152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</row>
    <row r="275" spans="1:32" x14ac:dyDescent="0.2">
      <c r="A275" s="10"/>
      <c r="B275" s="10"/>
      <c r="C275" s="10"/>
      <c r="D275" s="10"/>
      <c r="E275" s="152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</row>
    <row r="276" spans="1:32" x14ac:dyDescent="0.2">
      <c r="A276" s="10"/>
      <c r="B276" s="10"/>
      <c r="C276" s="10"/>
      <c r="D276" s="10"/>
      <c r="E276" s="152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</row>
    <row r="277" spans="1:32" x14ac:dyDescent="0.2">
      <c r="A277" s="10"/>
      <c r="B277" s="10"/>
      <c r="C277" s="10"/>
      <c r="D277" s="10"/>
      <c r="E277" s="152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</row>
    <row r="278" spans="1:32" x14ac:dyDescent="0.2">
      <c r="A278" s="10"/>
      <c r="B278" s="10"/>
      <c r="C278" s="10"/>
      <c r="D278" s="10"/>
      <c r="E278" s="152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</row>
    <row r="279" spans="1:32" x14ac:dyDescent="0.2">
      <c r="A279" s="10"/>
      <c r="B279" s="10"/>
      <c r="C279" s="10"/>
      <c r="D279" s="10"/>
      <c r="E279" s="152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</row>
    <row r="280" spans="1:32" x14ac:dyDescent="0.2">
      <c r="A280" s="10"/>
      <c r="B280" s="10"/>
      <c r="C280" s="10"/>
      <c r="D280" s="10"/>
      <c r="E280" s="152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</row>
    <row r="281" spans="1:32" x14ac:dyDescent="0.2">
      <c r="A281" s="10"/>
      <c r="B281" s="10"/>
      <c r="C281" s="10"/>
      <c r="D281" s="10"/>
      <c r="E281" s="152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</row>
    <row r="282" spans="1:32" x14ac:dyDescent="0.2">
      <c r="A282" s="10"/>
      <c r="B282" s="10"/>
      <c r="C282" s="10"/>
      <c r="D282" s="10"/>
      <c r="E282" s="152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</row>
    <row r="283" spans="1:32" x14ac:dyDescent="0.2">
      <c r="A283" s="10"/>
      <c r="B283" s="10"/>
      <c r="C283" s="10"/>
      <c r="D283" s="10"/>
      <c r="E283" s="152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</row>
    <row r="284" spans="1:32" x14ac:dyDescent="0.2">
      <c r="A284" s="10"/>
      <c r="B284" s="10"/>
      <c r="C284" s="10"/>
      <c r="D284" s="10"/>
      <c r="E284" s="152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</row>
    <row r="285" spans="1:32" x14ac:dyDescent="0.2">
      <c r="A285" s="10"/>
      <c r="B285" s="10"/>
      <c r="C285" s="10"/>
      <c r="D285" s="10"/>
      <c r="E285" s="152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</row>
    <row r="286" spans="1:32" x14ac:dyDescent="0.2">
      <c r="A286" s="10"/>
      <c r="B286" s="10"/>
      <c r="C286" s="10"/>
      <c r="D286" s="10"/>
      <c r="E286" s="152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</row>
    <row r="287" spans="1:32" x14ac:dyDescent="0.2">
      <c r="A287" s="10"/>
      <c r="B287" s="10"/>
      <c r="C287" s="10"/>
      <c r="D287" s="10"/>
      <c r="E287" s="152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</row>
    <row r="288" spans="1:32" x14ac:dyDescent="0.2">
      <c r="A288" s="10"/>
      <c r="B288" s="10"/>
      <c r="C288" s="10"/>
      <c r="D288" s="10"/>
      <c r="E288" s="152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</row>
    <row r="289" spans="1:32" x14ac:dyDescent="0.2">
      <c r="A289" s="10"/>
      <c r="B289" s="10"/>
      <c r="C289" s="10"/>
      <c r="D289" s="10"/>
      <c r="E289" s="152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</row>
    <row r="290" spans="1:32" x14ac:dyDescent="0.2">
      <c r="A290" s="10"/>
      <c r="B290" s="10"/>
      <c r="C290" s="10"/>
      <c r="D290" s="10"/>
      <c r="E290" s="152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</row>
    <row r="291" spans="1:32" x14ac:dyDescent="0.2">
      <c r="A291" s="10"/>
      <c r="B291" s="10"/>
      <c r="C291" s="10"/>
      <c r="D291" s="10"/>
      <c r="E291" s="152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</row>
    <row r="292" spans="1:32" x14ac:dyDescent="0.2">
      <c r="A292" s="10"/>
      <c r="B292" s="10"/>
      <c r="C292" s="10"/>
      <c r="D292" s="10"/>
      <c r="E292" s="152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</row>
    <row r="293" spans="1:32" x14ac:dyDescent="0.2">
      <c r="A293" s="10"/>
      <c r="B293" s="10"/>
      <c r="C293" s="10"/>
      <c r="D293" s="10"/>
      <c r="E293" s="152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</row>
    <row r="294" spans="1:32" x14ac:dyDescent="0.2">
      <c r="A294" s="10"/>
      <c r="B294" s="10"/>
      <c r="C294" s="10"/>
      <c r="D294" s="10"/>
      <c r="E294" s="152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</row>
    <row r="295" spans="1:32" x14ac:dyDescent="0.2">
      <c r="A295" s="10"/>
      <c r="B295" s="10"/>
      <c r="C295" s="10"/>
      <c r="D295" s="10"/>
      <c r="E295" s="152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</row>
  </sheetData>
  <mergeCells count="343">
    <mergeCell ref="A4:D5"/>
    <mergeCell ref="Q10:V11"/>
    <mergeCell ref="W10:X11"/>
    <mergeCell ref="Y10:AD11"/>
    <mergeCell ref="AE10:AF11"/>
    <mergeCell ref="Q8:V9"/>
    <mergeCell ref="AN2:AO4"/>
    <mergeCell ref="AH10:AI10"/>
    <mergeCell ref="AJ10:AK10"/>
    <mergeCell ref="AH11:AI11"/>
    <mergeCell ref="Q6:AF7"/>
    <mergeCell ref="AH6:AI6"/>
    <mergeCell ref="AJ6:AK6"/>
    <mergeCell ref="AH7:AI7"/>
    <mergeCell ref="AJ7:AK7"/>
    <mergeCell ref="AH8:AI8"/>
    <mergeCell ref="AJ8:AK8"/>
    <mergeCell ref="AH9:AI9"/>
    <mergeCell ref="AJ9:AK9"/>
    <mergeCell ref="AJ11:AK11"/>
    <mergeCell ref="A99:AJ100"/>
    <mergeCell ref="A101:AJ102"/>
    <mergeCell ref="A103:AJ104"/>
    <mergeCell ref="A105:AJ106"/>
    <mergeCell ref="A107:AJ108"/>
    <mergeCell ref="A109:AJ110"/>
    <mergeCell ref="W8:X9"/>
    <mergeCell ref="Y8:AD9"/>
    <mergeCell ref="AE8:AF9"/>
    <mergeCell ref="Q14:AA15"/>
    <mergeCell ref="AB14:AC15"/>
    <mergeCell ref="AD14:AF15"/>
    <mergeCell ref="Q12:V13"/>
    <mergeCell ref="W12:X13"/>
    <mergeCell ref="Y12:AD13"/>
    <mergeCell ref="AE12:AF13"/>
    <mergeCell ref="AJ22:AK22"/>
    <mergeCell ref="AH23:AI23"/>
    <mergeCell ref="AJ23:AK23"/>
    <mergeCell ref="F19:K20"/>
    <mergeCell ref="L19:M20"/>
    <mergeCell ref="N19:O20"/>
    <mergeCell ref="Q19:X20"/>
    <mergeCell ref="Q16:T17"/>
    <mergeCell ref="A24:B24"/>
    <mergeCell ref="A25:B25"/>
    <mergeCell ref="C25:D25"/>
    <mergeCell ref="F21:K22"/>
    <mergeCell ref="L21:M22"/>
    <mergeCell ref="N21:O22"/>
    <mergeCell ref="Q21:X22"/>
    <mergeCell ref="Y21:AF22"/>
    <mergeCell ref="AH22:AI22"/>
    <mergeCell ref="F23:K24"/>
    <mergeCell ref="L23:M24"/>
    <mergeCell ref="N23:O24"/>
    <mergeCell ref="Q23:X24"/>
    <mergeCell ref="Y23:AF24"/>
    <mergeCell ref="AH24:AI24"/>
    <mergeCell ref="AH25:AI25"/>
    <mergeCell ref="Q27:X28"/>
    <mergeCell ref="Y27:AF28"/>
    <mergeCell ref="AH27:AI27"/>
    <mergeCell ref="AJ27:AK27"/>
    <mergeCell ref="AH28:AI28"/>
    <mergeCell ref="U16:V17"/>
    <mergeCell ref="W16:AA17"/>
    <mergeCell ref="AB16:AC17"/>
    <mergeCell ref="AD16:AF17"/>
    <mergeCell ref="Y19:AF20"/>
    <mergeCell ref="AH21:AI21"/>
    <mergeCell ref="AJ21:AK21"/>
    <mergeCell ref="AJ24:AK24"/>
    <mergeCell ref="AH17:AI17"/>
    <mergeCell ref="AJ17:AK17"/>
    <mergeCell ref="AH18:AI18"/>
    <mergeCell ref="AJ18:AK18"/>
    <mergeCell ref="AH19:AI19"/>
    <mergeCell ref="AJ19:AK19"/>
    <mergeCell ref="AH20:AI20"/>
    <mergeCell ref="AJ20:AK20"/>
    <mergeCell ref="AH26:AI26"/>
    <mergeCell ref="AJ26:AK26"/>
    <mergeCell ref="AJ28:AK28"/>
    <mergeCell ref="F32:K32"/>
    <mergeCell ref="L32:N32"/>
    <mergeCell ref="O32:Q32"/>
    <mergeCell ref="R32:T32"/>
    <mergeCell ref="U32:W32"/>
    <mergeCell ref="X32:Z32"/>
    <mergeCell ref="AA32:AF32"/>
    <mergeCell ref="AJ25:AK25"/>
    <mergeCell ref="AH31:AI31"/>
    <mergeCell ref="AJ31:AK31"/>
    <mergeCell ref="AH32:AI32"/>
    <mergeCell ref="AJ32:AK32"/>
    <mergeCell ref="F25:K26"/>
    <mergeCell ref="L25:M26"/>
    <mergeCell ref="N25:O26"/>
    <mergeCell ref="Q25:X26"/>
    <mergeCell ref="Y25:AF26"/>
    <mergeCell ref="F29:K30"/>
    <mergeCell ref="L29:O30"/>
    <mergeCell ref="Q29:X30"/>
    <mergeCell ref="Y29:AF30"/>
    <mergeCell ref="F27:K28"/>
    <mergeCell ref="L27:M28"/>
    <mergeCell ref="N27:O28"/>
    <mergeCell ref="F35:K36"/>
    <mergeCell ref="L35:N36"/>
    <mergeCell ref="O35:Q36"/>
    <mergeCell ref="R35:T36"/>
    <mergeCell ref="U35:W36"/>
    <mergeCell ref="X35:Z36"/>
    <mergeCell ref="AA35:AF36"/>
    <mergeCell ref="AH35:AI35"/>
    <mergeCell ref="AJ35:AK35"/>
    <mergeCell ref="AH36:AI36"/>
    <mergeCell ref="AJ36:AK36"/>
    <mergeCell ref="F33:K34"/>
    <mergeCell ref="L33:N34"/>
    <mergeCell ref="O33:Q34"/>
    <mergeCell ref="R33:T34"/>
    <mergeCell ref="U33:W34"/>
    <mergeCell ref="X33:Z34"/>
    <mergeCell ref="AA33:AF34"/>
    <mergeCell ref="AH34:AI34"/>
    <mergeCell ref="AJ34:AK34"/>
    <mergeCell ref="AH33:AI33"/>
    <mergeCell ref="AJ33:AK33"/>
    <mergeCell ref="F43:N43"/>
    <mergeCell ref="O43:T43"/>
    <mergeCell ref="U43:AF43"/>
    <mergeCell ref="AD39:AF41"/>
    <mergeCell ref="F40:K41"/>
    <mergeCell ref="L40:N41"/>
    <mergeCell ref="O40:Q41"/>
    <mergeCell ref="R40:W41"/>
    <mergeCell ref="F39:K39"/>
    <mergeCell ref="L39:N39"/>
    <mergeCell ref="O39:Q39"/>
    <mergeCell ref="R39:W39"/>
    <mergeCell ref="Y39:AC41"/>
    <mergeCell ref="F46:N47"/>
    <mergeCell ref="O46:T47"/>
    <mergeCell ref="U46:AF47"/>
    <mergeCell ref="F44:N45"/>
    <mergeCell ref="O44:T45"/>
    <mergeCell ref="U44:AF45"/>
    <mergeCell ref="AH48:AI48"/>
    <mergeCell ref="A45:B45"/>
    <mergeCell ref="A46:B46"/>
    <mergeCell ref="A47:B47"/>
    <mergeCell ref="A48:B48"/>
    <mergeCell ref="C45:D45"/>
    <mergeCell ref="C46:D46"/>
    <mergeCell ref="C47:D47"/>
    <mergeCell ref="C48:D48"/>
    <mergeCell ref="F48:N49"/>
    <mergeCell ref="O48:T49"/>
    <mergeCell ref="U48:AF49"/>
    <mergeCell ref="AH49:AI49"/>
    <mergeCell ref="AH46:AI46"/>
    <mergeCell ref="AJ49:AK49"/>
    <mergeCell ref="AH50:AI50"/>
    <mergeCell ref="AJ50:AK50"/>
    <mergeCell ref="AH51:AI51"/>
    <mergeCell ref="AJ51:AK51"/>
    <mergeCell ref="AJ48:AK48"/>
    <mergeCell ref="F54:N55"/>
    <mergeCell ref="O54:T55"/>
    <mergeCell ref="U54:AF55"/>
    <mergeCell ref="F52:N53"/>
    <mergeCell ref="O52:T53"/>
    <mergeCell ref="U52:AF53"/>
    <mergeCell ref="AH53:AI53"/>
    <mergeCell ref="AJ53:AK53"/>
    <mergeCell ref="AH54:AI54"/>
    <mergeCell ref="AJ54:AK54"/>
    <mergeCell ref="AH55:AI55"/>
    <mergeCell ref="AJ55:AK55"/>
    <mergeCell ref="AH52:AI52"/>
    <mergeCell ref="AJ52:AK52"/>
    <mergeCell ref="F50:N51"/>
    <mergeCell ref="O50:T51"/>
    <mergeCell ref="U50:AF51"/>
    <mergeCell ref="A61:Y68"/>
    <mergeCell ref="Z61:AD62"/>
    <mergeCell ref="AE61:AJ62"/>
    <mergeCell ref="Z63:AD64"/>
    <mergeCell ref="AE63:AJ64"/>
    <mergeCell ref="Z65:AD66"/>
    <mergeCell ref="AE65:AJ66"/>
    <mergeCell ref="Z67:AD68"/>
    <mergeCell ref="AE67:AJ68"/>
    <mergeCell ref="A70:L71"/>
    <mergeCell ref="A72:L73"/>
    <mergeCell ref="M72:AJ73"/>
    <mergeCell ref="A95:AJ96"/>
    <mergeCell ref="A97:AJ98"/>
    <mergeCell ref="J1:AB3"/>
    <mergeCell ref="A83:AJ84"/>
    <mergeCell ref="A85:AJ86"/>
    <mergeCell ref="A87:AJ88"/>
    <mergeCell ref="A89:AJ90"/>
    <mergeCell ref="A91:AJ92"/>
    <mergeCell ref="A93:AJ94"/>
    <mergeCell ref="A76:L77"/>
    <mergeCell ref="M76:AJ77"/>
    <mergeCell ref="A79:L80"/>
    <mergeCell ref="A81:AJ82"/>
    <mergeCell ref="A74:L75"/>
    <mergeCell ref="M74:AJ75"/>
    <mergeCell ref="A57:L58"/>
    <mergeCell ref="A59:L60"/>
    <mergeCell ref="M59:Y60"/>
    <mergeCell ref="Z59:AD60"/>
    <mergeCell ref="AE59:AJ60"/>
    <mergeCell ref="AH4:AK5"/>
    <mergeCell ref="AH12:AI12"/>
    <mergeCell ref="AJ12:AK12"/>
    <mergeCell ref="AH13:AI13"/>
    <mergeCell ref="AJ13:AK13"/>
    <mergeCell ref="AH14:AI14"/>
    <mergeCell ref="AJ14:AK14"/>
    <mergeCell ref="AH15:AI15"/>
    <mergeCell ref="AJ15:AK15"/>
    <mergeCell ref="AH16:AI16"/>
    <mergeCell ref="AJ16:AK16"/>
    <mergeCell ref="AH29:AI29"/>
    <mergeCell ref="AJ29:AK29"/>
    <mergeCell ref="AH30:AI30"/>
    <mergeCell ref="AJ30:AK30"/>
    <mergeCell ref="AJ38:AK38"/>
    <mergeCell ref="AH39:AI39"/>
    <mergeCell ref="AJ39:AK39"/>
    <mergeCell ref="AH40:AI40"/>
    <mergeCell ref="AJ40:AK40"/>
    <mergeCell ref="AH37:AI37"/>
    <mergeCell ref="AJ37:AK37"/>
    <mergeCell ref="AH38:AI38"/>
    <mergeCell ref="AH41:AI41"/>
    <mergeCell ref="AJ41:AK41"/>
    <mergeCell ref="AH42:AI42"/>
    <mergeCell ref="AJ42:AK42"/>
    <mergeCell ref="AJ43:AK43"/>
    <mergeCell ref="AH44:AI44"/>
    <mergeCell ref="AJ44:AK44"/>
    <mergeCell ref="AH45:AI45"/>
    <mergeCell ref="AJ45:AK45"/>
    <mergeCell ref="AJ46:AK46"/>
    <mergeCell ref="AH47:AI47"/>
    <mergeCell ref="AJ47:AK47"/>
    <mergeCell ref="AH43:AI43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B36"/>
    <mergeCell ref="A35:B35"/>
    <mergeCell ref="A37:B37"/>
    <mergeCell ref="A38:B38"/>
    <mergeCell ref="A39:B39"/>
    <mergeCell ref="A40:B40"/>
    <mergeCell ref="A41:B41"/>
    <mergeCell ref="A42:B42"/>
    <mergeCell ref="A43:B43"/>
    <mergeCell ref="A44:B44"/>
    <mergeCell ref="A51:B51"/>
    <mergeCell ref="A49:B49"/>
    <mergeCell ref="A50:B50"/>
    <mergeCell ref="A52:B52"/>
    <mergeCell ref="A53:B53"/>
    <mergeCell ref="A54:B54"/>
    <mergeCell ref="A55:B5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9:D49"/>
    <mergeCell ref="C35:D35"/>
    <mergeCell ref="C50:D50"/>
    <mergeCell ref="C51:D51"/>
    <mergeCell ref="C52:D52"/>
    <mergeCell ref="C53:D53"/>
    <mergeCell ref="C54:D54"/>
    <mergeCell ref="C55:D5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</mergeCells>
  <conditionalFormatting sqref="AH6 AJ6:AJ55">
    <cfRule type="cellIs" dxfId="8" priority="11" stopIfTrue="1" operator="lessThanOrEqual">
      <formula>$AB$14</formula>
    </cfRule>
    <cfRule type="cellIs" dxfId="7" priority="12" stopIfTrue="1" operator="lessThan">
      <formula>$AB$16</formula>
    </cfRule>
    <cfRule type="cellIs" dxfId="6" priority="13" stopIfTrue="1" operator="greaterThan">
      <formula>$W$10</formula>
    </cfRule>
  </conditionalFormatting>
  <conditionalFormatting sqref="A6 C6:C7">
    <cfRule type="cellIs" dxfId="5" priority="10" operator="greaterThan">
      <formula>$W$12</formula>
    </cfRule>
  </conditionalFormatting>
  <conditionalFormatting sqref="AH7:AH55">
    <cfRule type="cellIs" dxfId="4" priority="3" stopIfTrue="1" operator="lessThanOrEqual">
      <formula>$AB$14</formula>
    </cfRule>
    <cfRule type="cellIs" dxfId="3" priority="4" stopIfTrue="1" operator="lessThan">
      <formula>$AB$16</formula>
    </cfRule>
    <cfRule type="cellIs" dxfId="2" priority="5" stopIfTrue="1" operator="greaterThan">
      <formula>$W$10</formula>
    </cfRule>
  </conditionalFormatting>
  <conditionalFormatting sqref="A7:A55">
    <cfRule type="cellIs" dxfId="1" priority="2" operator="greaterThan">
      <formula>$W$12</formula>
    </cfRule>
  </conditionalFormatting>
  <conditionalFormatting sqref="C8:C55">
    <cfRule type="cellIs" dxfId="0" priority="1" operator="greaterThan">
      <formula>$W$12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print="0" autoLine="0" autoPict="0">
                <anchor moveWithCells="1">
                  <from>
                    <xdr:col>39</xdr:col>
                    <xdr:colOff>0</xdr:colOff>
                    <xdr:row>6</xdr:row>
                    <xdr:rowOff>0</xdr:rowOff>
                  </from>
                  <to>
                    <xdr:col>41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print="0" autoLine="0" autoPict="0">
                <anchor moveWithCells="1">
                  <from>
                    <xdr:col>39</xdr:col>
                    <xdr:colOff>0</xdr:colOff>
                    <xdr:row>10</xdr:row>
                    <xdr:rowOff>0</xdr:rowOff>
                  </from>
                  <to>
                    <xdr:col>41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6" name="Drop Down 6">
              <controlPr defaultSize="0" print="0" autoLine="0" autoPict="0">
                <anchor moveWithCells="1">
                  <from>
                    <xdr:col>39</xdr:col>
                    <xdr:colOff>0</xdr:colOff>
                    <xdr:row>14</xdr:row>
                    <xdr:rowOff>0</xdr:rowOff>
                  </from>
                  <to>
                    <xdr:col>41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88</vt:i4>
      </vt:variant>
    </vt:vector>
  </HeadingPairs>
  <TitlesOfParts>
    <vt:vector size="93" baseType="lpstr">
      <vt:lpstr>Guide</vt:lpstr>
      <vt:lpstr>Tables</vt:lpstr>
      <vt:lpstr>NewTab</vt:lpstr>
      <vt:lpstr>Denik New</vt:lpstr>
      <vt:lpstr>Denik New Interactive</vt:lpstr>
      <vt:lpstr>_Bonus</vt:lpstr>
      <vt:lpstr>_Dovednost</vt:lpstr>
      <vt:lpstr>_DovStup</vt:lpstr>
      <vt:lpstr>_CharCol</vt:lpstr>
      <vt:lpstr>_IntCol</vt:lpstr>
      <vt:lpstr>_LupTab</vt:lpstr>
      <vt:lpstr>_LvlTab</vt:lpstr>
      <vt:lpstr>_MAG</vt:lpstr>
      <vt:lpstr>_Mag1</vt:lpstr>
      <vt:lpstr>_Mag2</vt:lpstr>
      <vt:lpstr>_Mag3</vt:lpstr>
      <vt:lpstr>_Mag4</vt:lpstr>
      <vt:lpstr>_MagAlchTab</vt:lpstr>
      <vt:lpstr>_MagDruidTab</vt:lpstr>
      <vt:lpstr>_MagHranTab</vt:lpstr>
      <vt:lpstr>_MagChodTab</vt:lpstr>
      <vt:lpstr>_MagKouzTab</vt:lpstr>
      <vt:lpstr>_Magy1</vt:lpstr>
      <vt:lpstr>_Magy2</vt:lpstr>
      <vt:lpstr>_Magy3</vt:lpstr>
      <vt:lpstr>_Magy4</vt:lpstr>
      <vt:lpstr>_MaxMag</vt:lpstr>
      <vt:lpstr>_MaxZiv</vt:lpstr>
      <vt:lpstr>_MECH</vt:lpstr>
      <vt:lpstr>_MechCol</vt:lpstr>
      <vt:lpstr>_MezVyrCol</vt:lpstr>
      <vt:lpstr>_Name</vt:lpstr>
      <vt:lpstr>_NMECH</vt:lpstr>
      <vt:lpstr>_NOBJ</vt:lpstr>
      <vt:lpstr>_OBJ</vt:lpstr>
      <vt:lpstr>_ObjCol</vt:lpstr>
      <vt:lpstr>_ObrCol</vt:lpstr>
      <vt:lpstr>_OdlCol</vt:lpstr>
      <vt:lpstr>_OZ1</vt:lpstr>
      <vt:lpstr>_OZ2</vt:lpstr>
      <vt:lpstr>_OZ3</vt:lpstr>
      <vt:lpstr>_OZ4</vt:lpstr>
      <vt:lpstr>_Postih1Col</vt:lpstr>
      <vt:lpstr>_Postih2Col</vt:lpstr>
      <vt:lpstr>_PovCol</vt:lpstr>
      <vt:lpstr>_RAS</vt:lpstr>
      <vt:lpstr>_RasCol</vt:lpstr>
      <vt:lpstr>_RasInd</vt:lpstr>
      <vt:lpstr>_Rod1</vt:lpstr>
      <vt:lpstr>_Rod2</vt:lpstr>
      <vt:lpstr>_Rod3</vt:lpstr>
      <vt:lpstr>_Rod4</vt:lpstr>
      <vt:lpstr>_ROZPOV</vt:lpstr>
      <vt:lpstr>_RozPovInd</vt:lpstr>
      <vt:lpstr>_SF1</vt:lpstr>
      <vt:lpstr>_SF2</vt:lpstr>
      <vt:lpstr>_SF3</vt:lpstr>
      <vt:lpstr>_SF4</vt:lpstr>
      <vt:lpstr>_SicTab</vt:lpstr>
      <vt:lpstr>_SilCol</vt:lpstr>
      <vt:lpstr>_Stit</vt:lpstr>
      <vt:lpstr>_StitMag</vt:lpstr>
      <vt:lpstr>_SZ1</vt:lpstr>
      <vt:lpstr>_SZ2</vt:lpstr>
      <vt:lpstr>_SZ3</vt:lpstr>
      <vt:lpstr>_SZ4</vt:lpstr>
      <vt:lpstr>_TEXT</vt:lpstr>
      <vt:lpstr>_UT1</vt:lpstr>
      <vt:lpstr>_UT2</vt:lpstr>
      <vt:lpstr>_UT3</vt:lpstr>
      <vt:lpstr>_UT4</vt:lpstr>
      <vt:lpstr>_Vlastnosti_Povolani</vt:lpstr>
      <vt:lpstr>_Vlastnosti_Povolani_k6</vt:lpstr>
      <vt:lpstr>_Vlastnosti_Povolani_Oprava</vt:lpstr>
      <vt:lpstr>_Vlastnosti_Rasa</vt:lpstr>
      <vt:lpstr>_Vlastnosti_Rasa_k6</vt:lpstr>
      <vt:lpstr>_ZAKPOV</vt:lpstr>
      <vt:lpstr>_ZakPovInd</vt:lpstr>
      <vt:lpstr>_Zbran1Ind</vt:lpstr>
      <vt:lpstr>_Zbran2Ind</vt:lpstr>
      <vt:lpstr>_Zbran3Ind</vt:lpstr>
      <vt:lpstr>_Zbran4Ind</vt:lpstr>
      <vt:lpstr>_ZbranTab</vt:lpstr>
      <vt:lpstr>_ZbrojInd</vt:lpstr>
      <vt:lpstr>_ZbrojKZ</vt:lpstr>
      <vt:lpstr>_ZbrojMag</vt:lpstr>
      <vt:lpstr>_ZbrojSfera</vt:lpstr>
      <vt:lpstr>_ZbrojTab</vt:lpstr>
      <vt:lpstr>_ZIV</vt:lpstr>
      <vt:lpstr>_ZivTab</vt:lpstr>
      <vt:lpstr>_ZlodTab</vt:lpstr>
      <vt:lpstr>'Denik New Interactive'!Oblast_tisku</vt:lpstr>
      <vt:lpstr>NewTab!Oblast_tisku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Guff</dc:creator>
  <cp:lastModifiedBy>Václav Křapáček</cp:lastModifiedBy>
  <cp:lastPrinted>2022-05-18T22:02:25Z</cp:lastPrinted>
  <dcterms:created xsi:type="dcterms:W3CDTF">2015-02-08T14:21:37Z</dcterms:created>
  <dcterms:modified xsi:type="dcterms:W3CDTF">2022-05-18T22:05:18Z</dcterms:modified>
</cp:coreProperties>
</file>